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41" windowWidth="10965" windowHeight="9795" tabRatio="880" activeTab="18"/>
  </bookViews>
  <sheets>
    <sheet name="Biểu số 1" sheetId="1" r:id="rId1"/>
    <sheet name="Biểu số 2" sheetId="2" r:id="rId2"/>
    <sheet name="Biểu số 3" sheetId="3" r:id="rId3"/>
    <sheet name="Biểu số 4" sheetId="4" r:id="rId4"/>
    <sheet name="Biểu số 5" sheetId="5" r:id="rId5"/>
    <sheet name="Biểu số 6" sheetId="6" r:id="rId6"/>
    <sheet name="Biểu số 7" sheetId="7" r:id="rId7"/>
    <sheet name="48" sheetId="8" r:id="rId8"/>
    <sheet name="49" sheetId="9" r:id="rId9"/>
    <sheet name="50 (2)" sheetId="10" r:id="rId10"/>
    <sheet name="51" sheetId="11" r:id="rId11"/>
    <sheet name="52" sheetId="12" r:id="rId12"/>
    <sheet name="53" sheetId="13" r:id="rId13"/>
    <sheet name="54" sheetId="14" r:id="rId14"/>
    <sheet name="56" sheetId="15" r:id="rId15"/>
    <sheet name="57" sheetId="16" r:id="rId16"/>
    <sheet name="58" sheetId="17" r:id="rId17"/>
    <sheet name="59" sheetId="18" r:id="rId18"/>
    <sheet name="60" sheetId="19" r:id="rId19"/>
  </sheets>
  <externalReferences>
    <externalReference r:id="rId22"/>
    <externalReference r:id="rId23"/>
  </externalReferences>
  <definedNames>
    <definedName name="chuong_phuluc_48" localSheetId="7">'48'!$F$1</definedName>
    <definedName name="chuong_phuluc_48_name" localSheetId="7">'48'!$A$2</definedName>
    <definedName name="chuong_phuluc_49" localSheetId="8">'49'!$E$1</definedName>
    <definedName name="chuong_phuluc_49_name" localSheetId="8">'49'!$A$2</definedName>
    <definedName name="chuong_phuluc_50" localSheetId="6">'Biểu số 7'!#REF!</definedName>
    <definedName name="chuong_phuluc_50_name" localSheetId="6">'Biểu số 7'!$A$2</definedName>
    <definedName name="chuong_phuluc_51" localSheetId="10">'51'!$E$1</definedName>
    <definedName name="chuong_phuluc_51_name" localSheetId="10">'51'!$A$2</definedName>
    <definedName name="chuong_phuluc_52" localSheetId="11">'52'!#REF!</definedName>
    <definedName name="chuong_phuluc_52_name" localSheetId="11">'52'!$A$2</definedName>
    <definedName name="chuong_phuluc_54" localSheetId="13">'54'!$AE$1</definedName>
    <definedName name="chuong_phuluc_54_name" localSheetId="13">'54'!$A$2</definedName>
    <definedName name="chuong_phuluc_56" localSheetId="14">'56'!$T$1</definedName>
    <definedName name="chuong_phuluc_56_name" localSheetId="14">'56'!$A$2</definedName>
    <definedName name="chuong_phuluc_57" localSheetId="16">'58'!$J$1</definedName>
    <definedName name="chuong_phuluc_57_name" localSheetId="16">'58'!$A$2</definedName>
    <definedName name="chuong_phuluc_59_name" localSheetId="17">'59'!$A$2</definedName>
    <definedName name="chuong_phuluc_60" localSheetId="18">'60'!$G$1</definedName>
    <definedName name="chuong_phuluc_60_name" localSheetId="18">'60'!$A$2</definedName>
    <definedName name="_xlnm.Print_Titles" localSheetId="9">'50 (2)'!$5:$7</definedName>
    <definedName name="_xlnm.Print_Titles" localSheetId="10">'51'!$5:$7</definedName>
    <definedName name="_xlnm.Print_Titles" localSheetId="12">'53'!$5:$6</definedName>
    <definedName name="_xlnm.Print_Titles" localSheetId="13">'54'!$5:$8</definedName>
    <definedName name="_xlnm.Print_Titles" localSheetId="14">'56'!$5:$8</definedName>
    <definedName name="_xlnm.Print_Titles" localSheetId="15">'57'!$5:$7</definedName>
    <definedName name="_xlnm.Print_Titles" localSheetId="0">'Biểu số 1'!$7:$8</definedName>
    <definedName name="_xlnm.Print_Titles" localSheetId="1">'Biểu số 2'!$6:$7</definedName>
    <definedName name="_xlnm.Print_Titles" localSheetId="2">'Biểu số 3'!$5:$8</definedName>
    <definedName name="_xlnm.Print_Titles" localSheetId="5">'Biểu số 6'!$6:$8</definedName>
    <definedName name="_xlnm.Print_Titles" localSheetId="6">'Biểu số 7'!$6:$8</definedName>
  </definedNames>
  <calcPr fullCalcOnLoad="1"/>
</workbook>
</file>

<file path=xl/comments14.xml><?xml version="1.0" encoding="utf-8"?>
<comments xmlns="http://schemas.openxmlformats.org/spreadsheetml/2006/main">
  <authors>
    <author>VNN.R9</author>
  </authors>
  <commentList>
    <comment ref="D28" authorId="0">
      <text>
        <r>
          <rPr>
            <b/>
            <sz val="8"/>
            <rFont val="Tahoma"/>
            <family val="2"/>
          </rPr>
          <t>VNN.R9:</t>
        </r>
        <r>
          <rPr>
            <sz val="8"/>
            <rFont val="Tahoma"/>
            <family val="2"/>
          </rPr>
          <t xml:space="preserve">
TT nước sạch và môi trường; TT giống thủy sản</t>
        </r>
      </text>
    </comment>
    <comment ref="D27" authorId="0">
      <text>
        <r>
          <rPr>
            <b/>
            <sz val="8"/>
            <rFont val="Tahoma"/>
            <family val="2"/>
          </rPr>
          <t>VNN.R9:</t>
        </r>
        <r>
          <rPr>
            <sz val="8"/>
            <rFont val="Tahoma"/>
            <family val="2"/>
          </rPr>
          <t xml:space="preserve">
Trường CĐ SP</t>
        </r>
      </text>
    </comment>
    <comment ref="D29" authorId="0">
      <text>
        <r>
          <rPr>
            <b/>
            <sz val="8"/>
            <rFont val="Tahoma"/>
            <family val="2"/>
          </rPr>
          <t>VNN.R9:</t>
        </r>
        <r>
          <rPr>
            <sz val="8"/>
            <rFont val="Tahoma"/>
            <family val="2"/>
          </rPr>
          <t xml:space="preserve">
TT bảo trợ XH</t>
        </r>
      </text>
    </comment>
  </commentList>
</comments>
</file>

<file path=xl/sharedStrings.xml><?xml version="1.0" encoding="utf-8"?>
<sst xmlns="http://schemas.openxmlformats.org/spreadsheetml/2006/main" count="1652" uniqueCount="684">
  <si>
    <t>KP bố trí, sắp xếp lại dân di cư tự do (Đề án 79)</t>
  </si>
  <si>
    <t>HT hoạt động sáng tạo tác phẩm báo chí, CTVHNT</t>
  </si>
  <si>
    <t>Số bổ sung cân đối từ ngân sách cấp trên</t>
  </si>
  <si>
    <t>Số bổ sung thực hiện cải cách tiền lương</t>
  </si>
  <si>
    <t>Quyết toán</t>
  </si>
  <si>
    <t xml:space="preserve">Thu bổ sung từ ngân sách cấp trên </t>
  </si>
  <si>
    <t xml:space="preserve">Tổng chi cân đối NSĐP </t>
  </si>
  <si>
    <t>CHI TRẢ NỢ GỐC CỦA NSĐP</t>
  </si>
  <si>
    <t>TỔNG MỨC DƯ NỢ VAY CUỐI NĂM CỦA NSĐP</t>
  </si>
  <si>
    <t>Bổ sung cân đối ngân sách</t>
  </si>
  <si>
    <t>Bổ sung có mục tiêu</t>
  </si>
  <si>
    <t>Kết dư</t>
  </si>
  <si>
    <t>TỔNG CHI NGÂN SÁCH ĐỊA PHƯƠNG</t>
  </si>
  <si>
    <t>CHI CÂN ĐỐI NGÂN SÁCH ĐỊA PHƯƠNG</t>
  </si>
  <si>
    <t>Biểu mẫu số 56</t>
  </si>
  <si>
    <t>Biểu mẫu số 57</t>
  </si>
  <si>
    <t>Kinh phí thực hiện trong năm</t>
  </si>
  <si>
    <t>Nguồn còn lại</t>
  </si>
  <si>
    <t>Dự toán đầu năm</t>
  </si>
  <si>
    <t>Chuyển nguồn năm sau</t>
  </si>
  <si>
    <t>Hủy bỏ</t>
  </si>
  <si>
    <t>Chi CTMTQG</t>
  </si>
  <si>
    <t>Chi giáo dục đào tạo dạy nghề</t>
  </si>
  <si>
    <t>Biểu mẫu số 59</t>
  </si>
  <si>
    <t>So sách (%)</t>
  </si>
  <si>
    <t>Gồm</t>
  </si>
  <si>
    <t>Vốn đầu tư để thực hiện các CTMT, nhiệm vụ</t>
  </si>
  <si>
    <t>Vốn sự nghiệp thực hiện các chế độ, chính sách</t>
  </si>
  <si>
    <t>Vốn thực hiện các CTMT quốc gia</t>
  </si>
  <si>
    <t>3=4+5</t>
  </si>
  <si>
    <t>11=12+13</t>
  </si>
  <si>
    <t>17=9/1</t>
  </si>
  <si>
    <t>18=10/2</t>
  </si>
  <si>
    <t>19=11/3</t>
  </si>
  <si>
    <t>20=12/4</t>
  </si>
  <si>
    <t>21=13/5</t>
  </si>
  <si>
    <t>22=14/6</t>
  </si>
  <si>
    <t>23=15/7</t>
  </si>
  <si>
    <t>24=16/8</t>
  </si>
  <si>
    <t>Biểu mẫu số 60</t>
  </si>
  <si>
    <t>Tổng thu NSĐP</t>
  </si>
  <si>
    <t>Thu NSĐP hưởng theo phân cấp</t>
  </si>
  <si>
    <t>Thu từ kết dư năm trước</t>
  </si>
  <si>
    <t>STT</t>
  </si>
  <si>
    <t>Nội dung</t>
  </si>
  <si>
    <t>A</t>
  </si>
  <si>
    <t>B</t>
  </si>
  <si>
    <t>-</t>
  </si>
  <si>
    <t>Đơn vị: Triệu đồng</t>
  </si>
  <si>
    <t>Thu nội địa</t>
  </si>
  <si>
    <t>II</t>
  </si>
  <si>
    <t>III</t>
  </si>
  <si>
    <t>IV</t>
  </si>
  <si>
    <t>C</t>
  </si>
  <si>
    <t>I</t>
  </si>
  <si>
    <t>Thu bổ sung có mục tiêu</t>
  </si>
  <si>
    <t>D</t>
  </si>
  <si>
    <t>TỔNG CHI NSĐP</t>
  </si>
  <si>
    <t>Chi thường xuyên</t>
  </si>
  <si>
    <t>Chi trả nợ lãi các khoản do chính quyền địa phương vay</t>
  </si>
  <si>
    <t>Chi tạo nguồn, điều chỉnh tiền lương</t>
  </si>
  <si>
    <t>E</t>
  </si>
  <si>
    <t>G</t>
  </si>
  <si>
    <t>Từ nguồn vay để trả nợ gốc</t>
  </si>
  <si>
    <t>Vay để bù đắp bội chi</t>
  </si>
  <si>
    <t>Vay để trả nợ gốc</t>
  </si>
  <si>
    <t>V</t>
  </si>
  <si>
    <t>Tổng số</t>
  </si>
  <si>
    <t>TỔNG SỐ</t>
  </si>
  <si>
    <t>Trong đó:</t>
  </si>
  <si>
    <t>Vốn trong nước</t>
  </si>
  <si>
    <t>Tên đơn vị</t>
  </si>
  <si>
    <t>Trong đó</t>
  </si>
  <si>
    <t>nộp trả</t>
  </si>
  <si>
    <t>CN</t>
  </si>
  <si>
    <r>
      <t xml:space="preserve">Ghi chú: </t>
    </r>
    <r>
      <rPr>
        <i/>
        <sz val="12"/>
        <color indexed="8"/>
        <rFont val="Times New Roman"/>
        <family val="1"/>
      </rPr>
      <t>(1) Số quyết toán không bao gồm nộp trả ngân sách cấp trên và số chuyển nguồn tà năm 2017 sang năm 2018.</t>
    </r>
  </si>
  <si>
    <t>Ban dân tộc</t>
  </si>
  <si>
    <t>UBMT tổ quốc</t>
  </si>
  <si>
    <t>Sở Giáo dục và Đào tạo</t>
  </si>
  <si>
    <t>Sở Nông nghiệp và PTNT</t>
  </si>
  <si>
    <t>Sở Lao động - TB và XH</t>
  </si>
  <si>
    <t xml:space="preserve">Nội dung </t>
  </si>
  <si>
    <t>Dự toán được sử dụng</t>
  </si>
  <si>
    <t>KP năm trước chuyển sang</t>
  </si>
  <si>
    <t>1=2+3+4-5</t>
  </si>
  <si>
    <t>7=1-6</t>
  </si>
  <si>
    <t>Sở VH, TT và DL</t>
  </si>
  <si>
    <t>Văn phòng HĐND tỉnh</t>
  </si>
  <si>
    <t>Trường CĐ KTKT</t>
  </si>
  <si>
    <t>Đài Phát thanh và TH tỉnh</t>
  </si>
  <si>
    <t>VP chuyên trách ban an toàn giao thông</t>
  </si>
  <si>
    <t>Bộ CHQS tỉnh</t>
  </si>
  <si>
    <t>Hội NN Chất độc da cam</t>
  </si>
  <si>
    <t>Hội cựu TNXP</t>
  </si>
  <si>
    <t>Hội cựu chiến binh DCĐ</t>
  </si>
  <si>
    <t>Hội chữ thập đỏ</t>
  </si>
  <si>
    <t>Trường Chính trị tỉnh</t>
  </si>
  <si>
    <t>Hội bảo trợ NTT, NM và TMC</t>
  </si>
  <si>
    <t>Tỉnh Đoàn thanh niên</t>
  </si>
  <si>
    <t>Sở Kế hoạch và Đầu tư</t>
  </si>
  <si>
    <t>Hội VH nghệ thuật</t>
  </si>
  <si>
    <t>Cục Thi hành án</t>
  </si>
  <si>
    <t>Cục thống kê</t>
  </si>
  <si>
    <t>Tòa án nhân dân tỉnh</t>
  </si>
  <si>
    <t>Viện kiểm soát nhân dân</t>
  </si>
  <si>
    <t>Liên hiệp các hội khoa học và KT</t>
  </si>
  <si>
    <t>Quỹ Bảo vệ môi trường</t>
  </si>
  <si>
    <t>Quỹ Phát triển đất đai</t>
  </si>
  <si>
    <t>Sở Khoa học và công nghệ</t>
  </si>
  <si>
    <t>Sở Tài nguyên và Môi trường</t>
  </si>
  <si>
    <t>Bảo hiểm Xã hội tỉnh</t>
  </si>
  <si>
    <t>Ban Dân tộc</t>
  </si>
  <si>
    <t>Thuế bảo vệ môi trường thu từ hàng hóa nhập khẩu</t>
  </si>
  <si>
    <t>Thuế giá trị gia tăng thu từ hàng hóa nhập khẩu</t>
  </si>
  <si>
    <t>THU TỪ QUỸ DỰ TRỮ TÀI CHÍNH</t>
  </si>
  <si>
    <t>THU KẾT DƯ NĂM TRƯỚC</t>
  </si>
  <si>
    <t>THU CHUYỂN NGUỒN TỪ NĂM TRƯỚC CHUYỂN SANG</t>
  </si>
  <si>
    <t>TỔNG NGUỒN THU NSNN (A+B+C+D+E)</t>
  </si>
  <si>
    <t>- Thuế BVMT thu từ hàng hóa sản xuất, kinh doanh trong nước</t>
  </si>
  <si>
    <t>- Thuế BVMT thu từ hàng hóa nhập khẩu</t>
  </si>
  <si>
    <t>Các cơ quan, đơn vị của tỉnh</t>
  </si>
  <si>
    <t xml:space="preserve">Chính sách đặc thù hỗ trợ phát triển kinh tế - xã hội vùng dân tộc thiểu số và miền núi giai đoạn 2017-2020 (Quyết định 33, Quyết định 1342 )  </t>
  </si>
  <si>
    <t xml:space="preserve"> Đề án ĐT, BD CB Hội liên hiệp phụ nữ các cấp </t>
  </si>
  <si>
    <t>Chi XDCB tập trung</t>
  </si>
  <si>
    <t>Chi từ nguồn thu sử dụng đất</t>
  </si>
  <si>
    <t>Chu XDCSHT bằng nguồn vốn vay</t>
  </si>
  <si>
    <t>Chi đầu tư và hỗ trợ vốn cho các doanh nghiệp</t>
  </si>
  <si>
    <t>Chi đầu tư từ  nguồn xổ số kiến thiết</t>
  </si>
  <si>
    <t>Chi đầu tư từ nguồn vốn khác</t>
  </si>
  <si>
    <t>Chương trình MT phát triển lâm nghiệp bền vững</t>
  </si>
  <si>
    <t>Nội dung chi</t>
  </si>
  <si>
    <t>So sánh QT/DT(%)</t>
  </si>
  <si>
    <t>Cấp trên giao</t>
  </si>
  <si>
    <t>HĐND quyết định</t>
  </si>
  <si>
    <t>CHI CÂN ĐỐI NGÂN SÁCH</t>
  </si>
  <si>
    <t>Chi đầu tư phát triển cho chương trình, dự án theo lĩnh vực</t>
  </si>
  <si>
    <t>Chi Giáo dục - đào tạo và dạy nghề</t>
  </si>
  <si>
    <t>Chi Khoa học và công nghệ</t>
  </si>
  <si>
    <t>Chi Y tế, dân số và gia đình</t>
  </si>
  <si>
    <t>1.6</t>
  </si>
  <si>
    <t>Chi Văn hóa thông tin</t>
  </si>
  <si>
    <t>1.7</t>
  </si>
  <si>
    <t>Chi Phát thanh, truyền hình, thông tấn</t>
  </si>
  <si>
    <t>1.8</t>
  </si>
  <si>
    <t>Chi Thể dục thể thao</t>
  </si>
  <si>
    <t>1.9</t>
  </si>
  <si>
    <t>Chi Bảo vệ môi trường</t>
  </si>
  <si>
    <t>1.10</t>
  </si>
  <si>
    <t>1.11</t>
  </si>
  <si>
    <t>Chi hoạt động của các cơ quan quản lý nhà nước, đảng, đoàn thể</t>
  </si>
  <si>
    <t>1.12</t>
  </si>
  <si>
    <t>Chi Bảo đảm xã hội</t>
  </si>
  <si>
    <t>1.13</t>
  </si>
  <si>
    <t>Chi ngành, lĩnh vực khác</t>
  </si>
  <si>
    <t>Chi đầu tư và hỗ trợ vốn cho các doanh nghiệp hoạt động công</t>
  </si>
  <si>
    <t>Chi trả nợ lãi vay theo quy định</t>
  </si>
  <si>
    <t>2.1</t>
  </si>
  <si>
    <t>2.2</t>
  </si>
  <si>
    <t>2.3</t>
  </si>
  <si>
    <t>2.4</t>
  </si>
  <si>
    <t>2.5</t>
  </si>
  <si>
    <t>2.6</t>
  </si>
  <si>
    <t>2.7</t>
  </si>
  <si>
    <t>2.8</t>
  </si>
  <si>
    <t>2.9</t>
  </si>
  <si>
    <t>2.10</t>
  </si>
  <si>
    <t>2.11</t>
  </si>
  <si>
    <t>2.12</t>
  </si>
  <si>
    <t>2.13</t>
  </si>
  <si>
    <t>Chi khác</t>
  </si>
  <si>
    <t>2.14</t>
  </si>
  <si>
    <t>Chi tạo nguồn CCTL</t>
  </si>
  <si>
    <t>Chi chuyển nguồn</t>
  </si>
  <si>
    <t>CHI BỔ SUNG CHO NGÂN SÁCH CẤP DƯỚI</t>
  </si>
  <si>
    <t>Bổ sung cân đối</t>
  </si>
  <si>
    <t>Trong đó: - Bằng nguồn vốn trong nước</t>
  </si>
  <si>
    <t xml:space="preserve">                - Bằng nguồn vốn ngoài nước</t>
  </si>
  <si>
    <t>CHI NỘP NGÂN SÁCH CẤP TRÊN</t>
  </si>
  <si>
    <t>TỔNG SỐ (A+B+C)</t>
  </si>
  <si>
    <t>Chi khác ngân sách</t>
  </si>
  <si>
    <t>Sở Ngoại vụ</t>
  </si>
  <si>
    <t>Sở Tư pháp</t>
  </si>
  <si>
    <t>Sở Công thương</t>
  </si>
  <si>
    <t>Sở Tài chính</t>
  </si>
  <si>
    <t>Sở Xây dựng</t>
  </si>
  <si>
    <t>Sở Y tế</t>
  </si>
  <si>
    <t>Sở Thông tin và TT</t>
  </si>
  <si>
    <t>Sở Nội vụ</t>
  </si>
  <si>
    <t>Thanh tra tỉnh</t>
  </si>
  <si>
    <t>Liên minh HTX</t>
  </si>
  <si>
    <t>Tỉnh ủy</t>
  </si>
  <si>
    <t>Hội Nông dân</t>
  </si>
  <si>
    <t>Hội cựu chiến binh</t>
  </si>
  <si>
    <t>Hội Luật gia</t>
  </si>
  <si>
    <t>Hội đông y</t>
  </si>
  <si>
    <t>Hội Khuyến học</t>
  </si>
  <si>
    <t>Quỹ xúc tiến thương mại</t>
  </si>
  <si>
    <t>Trường CĐ nghề</t>
  </si>
  <si>
    <t>Đoàn 379</t>
  </si>
  <si>
    <t>Công an tỉnh</t>
  </si>
  <si>
    <t>Chi mục tiêu, nhiệm vụ khác</t>
  </si>
  <si>
    <t>14=15+16</t>
  </si>
  <si>
    <t>19=6/1</t>
  </si>
  <si>
    <t>20=7/2</t>
  </si>
  <si>
    <t>21=8/3</t>
  </si>
  <si>
    <t>22=9/4</t>
  </si>
  <si>
    <t xml:space="preserve"> </t>
  </si>
  <si>
    <t xml:space="preserve"> - Các khoản thu khác ngoài quốc doanh</t>
  </si>
  <si>
    <t>Tr.đó: Thu khác NSTW</t>
  </si>
  <si>
    <t>Trong đó: - Thu từ hàng hóa nhập khẩu</t>
  </si>
  <si>
    <t>- Thu từ hàng hóa sản xuất trong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</si>
  <si>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</si>
  <si>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</si>
  <si>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</si>
  <si>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</si>
  <si>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</si>
  <si>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</si>
  <si>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</si>
  <si>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</si>
  <si>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</si>
  <si>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</si>
  <si>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</si>
  <si>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</si>
  <si>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t>
  </si>
  <si>
    <t xml:space="preserve">                - Do địa phương</t>
  </si>
  <si>
    <t>Thu từ tài sản được xác lập quyền sở hữu của nhà nước</t>
  </si>
  <si>
    <t>Trong đó: - Do trung ương xử lý</t>
  </si>
  <si>
    <t xml:space="preserve">                - Do địa phương xử lý</t>
  </si>
  <si>
    <t>Thu tiền cho thuê và bán nhà ở thuộc sở hữu nhà nước</t>
  </si>
  <si>
    <t>Trong đó: - Thu khác ngân sách trung ương</t>
  </si>
  <si>
    <t>Trong đó: - Giấy phép do Trung ương cấp</t>
  </si>
  <si>
    <t>- Giấy phép do Ủy ban nhân dân cấp tỉnh cấp</t>
  </si>
  <si>
    <t>Thu từ quỹ đất công ích và thu hoa lợi công sản khác</t>
  </si>
  <si>
    <t>4. Thu kết dư năm trước</t>
  </si>
  <si>
    <t>4. Chi bổ sung quỹ dự trữ tài chính</t>
  </si>
  <si>
    <t>5. Thu chuyển nguồn từ năm trước sang</t>
  </si>
  <si>
    <t>5. Chi bổ sung cho ngân sách cấp dưới</t>
  </si>
  <si>
    <t>6. Thu viện trợ</t>
  </si>
  <si>
    <t>6. Chi chuyển nguồn sang năm sau</t>
  </si>
  <si>
    <t>7. Thu bổ sung từ ngân sách cấp trên</t>
  </si>
  <si>
    <t>7. Chi nộp trả ngân sách cấp trên</t>
  </si>
  <si>
    <t>Tr.đó: - Bổ sung cân đối ngân sách</t>
  </si>
  <si>
    <t xml:space="preserve">          - Bổ sung có mục tiêu</t>
  </si>
  <si>
    <t>8. Thu từ ngân sách cấp dưới nộp lên</t>
  </si>
  <si>
    <t>- Kết dư ngân sách năm quyết toán = (thu - chi)</t>
  </si>
  <si>
    <r>
      <t>B. Vay của ngân sách cấp tỉnh</t>
    </r>
    <r>
      <rPr>
        <b/>
        <sz val="12"/>
        <color indexed="8"/>
        <rFont val="Times New Roman"/>
        <family val="1"/>
      </rPr>
      <t xml:space="preserve"> </t>
    </r>
  </si>
  <si>
    <t xml:space="preserve">B. Chi trả nợ gốc </t>
  </si>
  <si>
    <t xml:space="preserve"> - Từ bội thu ngân sách</t>
  </si>
  <si>
    <t xml:space="preserve"> - Trung ương bổ sung có mục tiêu</t>
  </si>
  <si>
    <t xml:space="preserve">Chi khoa học và công nghệ </t>
  </si>
  <si>
    <t>Biểu mẫu số 58</t>
  </si>
  <si>
    <t>TP. Điện Biên phủ</t>
  </si>
  <si>
    <t>Sở Giao thông vận tải</t>
  </si>
  <si>
    <t>BCH Biên phòng tỉnh</t>
  </si>
  <si>
    <t>Vốn  sự nghiệp để thực hiện các CTMT, nhiệm vụ</t>
  </si>
  <si>
    <t>Vốn  sự nhiệp để thực hiện các CTMT, nhiệm vụ</t>
  </si>
  <si>
    <t>Tổng</t>
  </si>
  <si>
    <t xml:space="preserve">Tên đơn vị </t>
  </si>
  <si>
    <t>Kinh phí quyết toán</t>
  </si>
  <si>
    <t xml:space="preserve">Tổng </t>
  </si>
  <si>
    <t>Hỗ trợ hội, đoàn thể</t>
  </si>
  <si>
    <t>Các cơ quan đơn vị của tỉnh</t>
  </si>
  <si>
    <t>Hội nhà báo</t>
  </si>
  <si>
    <t>Biên phòng tỉnh</t>
  </si>
  <si>
    <t>Chi chương trình MTQG</t>
  </si>
  <si>
    <t>Chi sự nghiệp</t>
  </si>
  <si>
    <t>BỘI THU NSĐP</t>
  </si>
  <si>
    <t>Dự toán 2017</t>
  </si>
  <si>
    <t>5=4/3</t>
  </si>
  <si>
    <t>Đơn vị tính: Triệu đồng</t>
  </si>
  <si>
    <t xml:space="preserve">Chương trình giảm nghèo  bền vững   </t>
  </si>
  <si>
    <t xml:space="preserve">Thu về dầu thô theo hiệp định, hợp đồng </t>
  </si>
  <si>
    <t>Thuế tài nguyên</t>
  </si>
  <si>
    <t>Lợi nhuận sau thuế được chia của Chính phủ Việt Nam</t>
  </si>
  <si>
    <t>Dầu lãi được chia của Chính phủ Việt Nam</t>
  </si>
  <si>
    <t xml:space="preserve">Thuế đặc biệt </t>
  </si>
  <si>
    <t xml:space="preserve">Thu về Condensate theo hiệp định, hợp đồng. </t>
  </si>
  <si>
    <t>Phụ thu về dầu, khí</t>
  </si>
  <si>
    <t>Thu về khí thiên nhiên (không bao gồm doanh nghiệp có vốn đầu tư nước ngoài)</t>
  </si>
  <si>
    <t>Thu Hải quan</t>
  </si>
  <si>
    <t>Thuế tiêu thụ đặc biệt hàng nhập khẩu</t>
  </si>
  <si>
    <t>Thuế giá trị gia tăng hàng nhập khẩu</t>
  </si>
  <si>
    <t>Thuế bổ sung đối với hàng hóa nhập khẩu vào Việt Nam</t>
  </si>
  <si>
    <t>Thu chênh lệch giá hàng xuất nhập khẩu</t>
  </si>
  <si>
    <t>Thuế bảo vệ môi trường do cơ quan hải quan thực hiện</t>
  </si>
  <si>
    <t>Phí, lệ phí hải quan</t>
  </si>
  <si>
    <t>Thu Viện trợ</t>
  </si>
  <si>
    <t>Các khoản huy động, đóng góp</t>
  </si>
  <si>
    <t>Thuế xuất khẩu</t>
  </si>
  <si>
    <t>CHI CHUYỂN NGUỒN SANG NĂM SAU</t>
  </si>
  <si>
    <t>Bao gồm</t>
  </si>
  <si>
    <t>II.1</t>
  </si>
  <si>
    <t>II.1.1</t>
  </si>
  <si>
    <t>II.1.2</t>
  </si>
  <si>
    <t>Vốn đầu tư</t>
  </si>
  <si>
    <t>Chi các chương trình mục tiêu, nhiệm vụ khác</t>
  </si>
  <si>
    <t>II.1.3</t>
  </si>
  <si>
    <t>II.2</t>
  </si>
  <si>
    <t xml:space="preserve">Chương trình mục tiêu Giáo dục nghề nghiệp - Việc làm và ATLĐ </t>
  </si>
  <si>
    <t>Sự nghiệp theo NQ 30a (cũ)</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</si>
  <si>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</si>
  <si>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</si>
  <si>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</si>
  <si>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</si>
  <si>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</si>
  <si>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</si>
  <si>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</si>
  <si>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</si>
  <si>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</si>
  <si>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</si>
  <si>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</si>
  <si>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chuyển nguồn sang ngân sách năm sau</t>
  </si>
  <si>
    <t>Chi giao thông</t>
  </si>
  <si>
    <t>Chi nông nghiệp, lâm nghiệp, thủy lợi, thủy sản</t>
  </si>
  <si>
    <t>Dự toán</t>
  </si>
  <si>
    <t>Chi khoa học và công nghệ (3)</t>
  </si>
  <si>
    <t>VII</t>
  </si>
  <si>
    <t>Biểu mẫu số 48</t>
  </si>
  <si>
    <t>Biểu mẫu số 49</t>
  </si>
  <si>
    <t>Biểu mẫu số 50</t>
  </si>
  <si>
    <t>Biểu mẫu số 51</t>
  </si>
  <si>
    <t>Biểu mẫu số 52</t>
  </si>
  <si>
    <t>Biểu mẫu số 53</t>
  </si>
  <si>
    <t>Biểu mẫu số 54</t>
  </si>
  <si>
    <t>Vốn ngoài nước</t>
  </si>
  <si>
    <t>Thuế thu nhập doanh nghiệp</t>
  </si>
  <si>
    <t>Huyện Tuần giáo</t>
  </si>
  <si>
    <t>Huyện Mường Ảng</t>
  </si>
  <si>
    <t>Huyện Điện Biên</t>
  </si>
  <si>
    <t>Huyện Mường Chà</t>
  </si>
  <si>
    <t>Huyện Tủa Chùa</t>
  </si>
  <si>
    <t>Huyện Mường Nhé</t>
  </si>
  <si>
    <t>Huyện Điện Biên Đông</t>
  </si>
  <si>
    <t>TP Điện Biên phủ</t>
  </si>
  <si>
    <t>Thị xã Mường Lay</t>
  </si>
  <si>
    <t>Huyện Nậm Pồ</t>
  </si>
  <si>
    <t xml:space="preserve"> - Bội thu</t>
  </si>
  <si>
    <t>Thu từ ngân sách cấp dưới nộp lên</t>
  </si>
  <si>
    <t xml:space="preserve">NGÂN SÁCH CẤP TỈNH </t>
  </si>
  <si>
    <t xml:space="preserve">Chi thuộc nhiệm vụ của ngân sách cấp tỉnh </t>
  </si>
  <si>
    <t xml:space="preserve">NGÂN SÁCH HUYỆN </t>
  </si>
  <si>
    <t xml:space="preserve">Thu từ quỹ dự trữ tài chính </t>
  </si>
  <si>
    <t>23=10/5</t>
  </si>
  <si>
    <t>Chi đầu tư</t>
  </si>
  <si>
    <t xml:space="preserve">Chi đầu tư </t>
  </si>
  <si>
    <t>Ngân sách cấp tỉnh</t>
  </si>
  <si>
    <t>Ngân sách cấp huyện</t>
  </si>
  <si>
    <t>7=4/1</t>
  </si>
  <si>
    <t>8=5/2</t>
  </si>
  <si>
    <t>9=6/3</t>
  </si>
  <si>
    <t>Ngân sách địa phương</t>
  </si>
  <si>
    <t xml:space="preserve">Ngân sách cấp tỉnh </t>
  </si>
  <si>
    <t xml:space="preserve">Ngân sách huyện </t>
  </si>
  <si>
    <t>Chi sự nghiệp từ nguồn vốn nước ngoài (ghi thu ghi chi)</t>
  </si>
  <si>
    <t>Cải tạo, xử lý ô nhiễm bãi chôn lấp rác thải Noong Bua - TPĐBP</t>
  </si>
  <si>
    <t>Kinh phí bảo vệ và phát triển rừng</t>
  </si>
  <si>
    <t>KP khắc phục hậu quả hạn hán vụ đông  xuân</t>
  </si>
  <si>
    <t>Chương trình mục tiêu đảm bảo ATGT, PCCC, PCTP và ma túy</t>
  </si>
  <si>
    <t>Thu cổ tức và lợi nhuận sau thuế</t>
  </si>
  <si>
    <t>Thu từ hoạt động xổ số kiến thiết (kể cả xổ số điện toán)</t>
  </si>
  <si>
    <t>Thu về dầu thô</t>
  </si>
  <si>
    <t>Từ nguồn bội thu</t>
  </si>
  <si>
    <t>Trung ương bổ sung có mục tiêu</t>
  </si>
  <si>
    <t>Tổng thu NSNN</t>
  </si>
  <si>
    <t>Thu NSĐP</t>
  </si>
  <si>
    <t>5=3/1</t>
  </si>
  <si>
    <t>6=4/2</t>
  </si>
  <si>
    <t>TỔNG THU CÂN ĐỐI NSNN</t>
  </si>
  <si>
    <t>Thu từ khu vực doanh nghiệp có vốn đầu tư nước ngoài (3)</t>
  </si>
  <si>
    <t>Thu từ khu vực kinh tế ngoài quốc doanh (4)</t>
  </si>
  <si>
    <t xml:space="preserve">Thu phí, lệ phí </t>
  </si>
  <si>
    <t>Tiền cho thuê đất, thuê mặt nước</t>
  </si>
  <si>
    <t>Thu tiền sử dụng đất</t>
  </si>
  <si>
    <t>Tiền cho thuê và tiền bán nhà ở thuộc sở hữu nhà nước</t>
  </si>
  <si>
    <t>Thu từ hoạt động xổ số kiến thiết</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</si>
  <si>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</si>
  <si>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</si>
  <si>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</si>
  <si>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</si>
  <si>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</si>
  <si>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</si>
  <si>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tiêu thụ đặc biệt thu từ hàng hóa nhập khẩu</t>
  </si>
  <si>
    <t>Dự toán năm 2017</t>
  </si>
  <si>
    <t>Phân chia theo từng cấp ngân sách</t>
  </si>
  <si>
    <t>So sánh QT/DT (%)</t>
  </si>
  <si>
    <t>Thu NS TW</t>
  </si>
  <si>
    <t>Thu NS cấp tỉnh</t>
  </si>
  <si>
    <t>Thu NS cấp huyện</t>
  </si>
  <si>
    <t>Thu NS xã</t>
  </si>
  <si>
    <t>3=4+5+6+7</t>
  </si>
  <si>
    <t>8=3/1</t>
  </si>
  <si>
    <t>9=3/2</t>
  </si>
  <si>
    <t>TỔNG SỐ (A+B+C+D+E)</t>
  </si>
  <si>
    <t>THU NGÂN SÁCH NHÀ NƯỚC</t>
  </si>
  <si>
    <t>Thu từ kinh tế quốc doanh</t>
  </si>
  <si>
    <t>- Thuế giá trị gia tăng</t>
  </si>
  <si>
    <t>Trong đó: Thu từ hoạt động thăm dò, khai thác, dầu khí</t>
  </si>
  <si>
    <t>- Thuế thu nhập doanh nghiệp</t>
  </si>
  <si>
    <t>- Thuế tiêu thụ đặc biệt</t>
  </si>
  <si>
    <t>Trong đó: Thu từ cơ sở kinh doanh nhập khẩu tiếp tục bán ra trong nước</t>
  </si>
  <si>
    <t>- Thuế tài nguyên</t>
  </si>
  <si>
    <t>Trong đó: Thuế tài nguyên dầu, khí</t>
  </si>
  <si>
    <t xml:space="preserve"> - Thuế môn bài</t>
  </si>
  <si>
    <t xml:space="preserve"> - Thu hồi vốn và thu khác</t>
  </si>
  <si>
    <t>Thu từ khu vực doanh nghiệp nhà nước do địa phương quản lý</t>
  </si>
  <si>
    <t>Thu từ khu vực doanh nghiệp có vốn đầu tư nước ngoài</t>
  </si>
  <si>
    <t>Trong đó: Thu từ hoạt động thăm dò và khai thác dầu, khí</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</si>
  <si>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</si>
  <si>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</si>
  <si>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</si>
  <si>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</si>
  <si>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Thu từ khu vực kinh tế ngoài quốc doanh</t>
  </si>
  <si>
    <t xml:space="preserve">Trong đó: Thu từ cơ sở kinh doanh nhập khẩu tiếp tục bán ra trong nước </t>
  </si>
  <si>
    <t>Hỗ trợ các tổ chức xã hội</t>
  </si>
  <si>
    <t>Các cơ quan ,đơn vị của tỉnh</t>
  </si>
  <si>
    <t>Sở Văn hóa thể thao và DL</t>
  </si>
  <si>
    <t>Sở Lao động - TB XH</t>
  </si>
  <si>
    <t>Dự toán 
  năm 2017</t>
  </si>
  <si>
    <t>Trường Cao đẳng nghề</t>
  </si>
  <si>
    <t xml:space="preserve">Quỹ Phát triển đất </t>
  </si>
  <si>
    <t>Tỉnh hội phụ nữ</t>
  </si>
  <si>
    <t>Hội Văn học  nghệ thuật</t>
  </si>
  <si>
    <t>Hội Chữ thập đỏ</t>
  </si>
  <si>
    <t>Hội CCB Dân chính Đảng</t>
  </si>
  <si>
    <t>Hội Đông y</t>
  </si>
  <si>
    <t>Hội Nhà báo</t>
  </si>
  <si>
    <t>Hội NN Chất độc da cam/Dioxin</t>
  </si>
  <si>
    <t>Liên minh các  HTX</t>
  </si>
  <si>
    <t>Ban đại diện hội  Người cao tuổi</t>
  </si>
  <si>
    <t>Dự toán năm  2017</t>
  </si>
  <si>
    <t>Chi nhánh ngân hàng phát triển và các đơn vị phát sinh</t>
  </si>
  <si>
    <t>Dự toán năm</t>
  </si>
  <si>
    <t>Quyết toán năm</t>
  </si>
  <si>
    <t>Tổng số Chi NSĐP</t>
  </si>
  <si>
    <t>3=4+5+6</t>
  </si>
  <si>
    <t>7=3/1</t>
  </si>
  <si>
    <t>8=3/2</t>
  </si>
  <si>
    <t xml:space="preserve">Ban QLDA di dân TĐC thủy điện Sơn La </t>
  </si>
  <si>
    <r>
      <t xml:space="preserve">Bổ sung trong năm </t>
    </r>
    <r>
      <rPr>
        <sz val="11"/>
        <rFont val="Times New Roman"/>
        <family val="1"/>
      </rPr>
      <t>(nếu có)</t>
    </r>
  </si>
  <si>
    <r>
      <t xml:space="preserve">Giảm trừ trong năm </t>
    </r>
    <r>
      <rPr>
        <sz val="11"/>
        <rFont val="Times New Roman"/>
        <family val="1"/>
      </rPr>
      <t>(nếu có)</t>
    </r>
  </si>
  <si>
    <t xml:space="preserve">Dự toán </t>
  </si>
  <si>
    <t>Chương trình mục tiêu Hỗ trợ phát triển hệ thống trợ giúp xã hội</t>
  </si>
  <si>
    <t>Kinh phí phân giới cắm mốc biên  giới Việt - Lào</t>
  </si>
  <si>
    <t>Kinh phí bố trí, sắp xếp lại dân di cư tự do (Đề án 79)</t>
  </si>
  <si>
    <t>Kinh phí khắc phục hậu quả hạn hán vụ đông  xuân</t>
  </si>
  <si>
    <t>Hỗ trợ hoạt động sáng tạo tác phẩm báo chí, CTVHNT</t>
  </si>
  <si>
    <t xml:space="preserve"> Đề án đào tạo, bồi dưỡng, cán bộ Hội liên hiệp phụ nữ các cấp </t>
  </si>
  <si>
    <t>Sự nghiệp theo Nghị quyết 30a (cũ)</t>
  </si>
  <si>
    <t>- Phí và lệ phí trung ương</t>
  </si>
  <si>
    <t>- Phí và lệ phí tỉnh</t>
  </si>
  <si>
    <t>- Phí và lệ phí huyện</t>
  </si>
  <si>
    <t>- Phí và lệ phí xã, phường</t>
  </si>
  <si>
    <t>- Thu từ thu nhập sau thuế</t>
  </si>
  <si>
    <t>THU TỪ NGÂN SÁCH CẤP DƯỚI NỘP LÊN</t>
  </si>
  <si>
    <t>Văn phòng UBND tỉnh</t>
  </si>
  <si>
    <t>Văn phòng Đoàn Đại biểu quốc hội</t>
  </si>
  <si>
    <t>Sở Giao thông Vận tải</t>
  </si>
  <si>
    <t xml:space="preserve">Ngân hàng chính sách xã hội </t>
  </si>
  <si>
    <t xml:space="preserve">Chi hoàn trả các khoản thu năm trước (hoàn thuế thu nhập cá nhân) </t>
  </si>
  <si>
    <t>HCSN</t>
  </si>
  <si>
    <t>QLNS</t>
  </si>
  <si>
    <t>Chi đền bù GPMB từ nguồn đối trừ số thu tiền cho thuê đất</t>
  </si>
  <si>
    <t>Quỹ dự  trữ tài chính</t>
  </si>
  <si>
    <t>Công ty TNHH quản lý Thủy Nông</t>
  </si>
  <si>
    <t>Công ty cổ phần xây dựng Thủy lợi</t>
  </si>
  <si>
    <t>Kho Bạc nhà nước</t>
  </si>
  <si>
    <t>Chi trả nợ lãi và phí vay đầu tư cơ sở hạ tầng</t>
  </si>
  <si>
    <t>Khối huyện</t>
  </si>
  <si>
    <t xml:space="preserve">Ban QLDA các công trình Nông nghiêp và Phát triển NT </t>
  </si>
  <si>
    <t>Công CP cấp nước Điện Biên</t>
  </si>
  <si>
    <t>Ban Quản lý các dự án dân dụng và CN</t>
  </si>
  <si>
    <t>Ban QLDA các công trình giao thông</t>
  </si>
  <si>
    <t>Ban giảm nghèo tỉnh</t>
  </si>
  <si>
    <t>Ban QLDA bạn hữu trẻ em</t>
  </si>
  <si>
    <t>Ban QLDA phát triển tiẻu vùng mê công mở rộng</t>
  </si>
  <si>
    <t>Ban QL rừng TG</t>
  </si>
  <si>
    <t>Ban chỉ đạo cắm mốc</t>
  </si>
  <si>
    <t>Ban Nội chính</t>
  </si>
  <si>
    <t>BQL Rừng phòng hộ huyện ĐB</t>
  </si>
  <si>
    <t xml:space="preserve">TT Quy hoạch đô thị </t>
  </si>
  <si>
    <t>Ban QL rừng Mường Chà</t>
  </si>
  <si>
    <t>Chi cục Kiểm lâm tỉnh</t>
  </si>
  <si>
    <t>Chi đầu tư phát triển (không kể chương trình MTQG)</t>
  </si>
  <si>
    <t>Chi thường xuyên (không kể chương trình MTQG)</t>
  </si>
  <si>
    <t>Đầu tư</t>
  </si>
  <si>
    <t>TP.Điện Biên phủ</t>
  </si>
  <si>
    <t>Phần thu</t>
  </si>
  <si>
    <t>Phần chi</t>
  </si>
  <si>
    <t>Chi NS cấp tỉnh</t>
  </si>
  <si>
    <t>Chi NS cấp huyện</t>
  </si>
  <si>
    <t>Chi NS xã</t>
  </si>
  <si>
    <t>A. Tổng số thu cân đối ngân sách</t>
  </si>
  <si>
    <t>A Tổng số chi cân đối ngân sách</t>
  </si>
  <si>
    <t>1. Các khoản thu NSĐP hưởng 100%</t>
  </si>
  <si>
    <t>1. Chi đầu tư phát triển</t>
  </si>
  <si>
    <t>2. Các khoản thu phân chia theo tỷ lệ %</t>
  </si>
  <si>
    <t>2. Chi trả nợ lãi, phí tiền vay</t>
  </si>
  <si>
    <t>3.Thu từ quỹ dự trữ tài chính</t>
  </si>
  <si>
    <t>3. Chi thường xuyên</t>
  </si>
  <si>
    <t>Chương trình mục tiêu tái cơ cấu kinh tế NN, phòng chống giảm nhẹ thiên tai, ổn định đời sống dân cư (Sắp xếp lại dân cư những nơi cần thiết theo Quyết định 193 và Quyết định 1776 )</t>
  </si>
  <si>
    <t>Chính sách trợ giúp pháp lý theo Quyết định 32/QĐ-TTg</t>
  </si>
  <si>
    <t>Chương trình mục tiêu phát triển lâm nghiệp bền vững</t>
  </si>
  <si>
    <t>Chi xây dựng cơ sở hạ tầng bằng nguồn vốn vay</t>
  </si>
  <si>
    <t xml:space="preserve"> Chương trình mục tiêu quốc gia văn hóa (cũ)</t>
  </si>
  <si>
    <t xml:space="preserve"> Đầu tư các dự án từ nguồn vốn trong nước</t>
  </si>
  <si>
    <t>Dự án di dân tái định cư thủy điện Sơn la</t>
  </si>
  <si>
    <t>Dự án đường giao thông Huổi Mí</t>
  </si>
  <si>
    <t>Chương trình mục tiêu Giáo dục nghề nghiệp - Việc làm và an toàn lao động</t>
  </si>
  <si>
    <t>Chương trình mục tiêu đảm bảo an toàn giao thông, phòng cháy chữa cháy, phòng chống tội phạm và ma túy</t>
  </si>
  <si>
    <t>Kinh phí hỗ trợ cho phụ nữ thuộc hộ nghèo là người DTTS sinh con đúng chính sách….</t>
  </si>
  <si>
    <t>Dự na hoàn thiện, hiện đại hóa hồ sơ, BĐ ĐGHC và XDCSDL ĐGHC</t>
  </si>
  <si>
    <t>Các khoản huy động đóng góp xây dựng cơ sở hạ tầng</t>
  </si>
  <si>
    <t>Các khoản huy động đóng góp khác</t>
  </si>
  <si>
    <t>Thu hồi vốn của Nhà nước và thu từ quỹ dự trữ tài chính</t>
  </si>
  <si>
    <t>Thu từ bán cổ phần, vốn góp của Nhà nước nộp ngân sách</t>
  </si>
  <si>
    <t>Thu từ các khoản cho vay của ngân sách</t>
  </si>
  <si>
    <t>Thu nợ gốc cho vay</t>
  </si>
  <si>
    <t>Thu lãi cho vay</t>
  </si>
  <si>
    <t>VAY CỦA NGÂN SÁCH ĐỊA PHƯƠNG</t>
  </si>
  <si>
    <t>Vay bù đắp bội chi NSĐP</t>
  </si>
  <si>
    <t>Vay trong nước</t>
  </si>
  <si>
    <t>Vay lại từ nguồn Chính phủ vay ngoài nước</t>
  </si>
  <si>
    <t>Vay để trả nợ gốc vay</t>
  </si>
  <si>
    <t>THU CHUYỂN GIAO NGÂN SÁCH</t>
  </si>
  <si>
    <t xml:space="preserve">Bổ sung cân đối </t>
  </si>
  <si>
    <t xml:space="preserve">Bổ sung có mục tiêu bằng nguồn vốn trong nước </t>
  </si>
  <si>
    <t>Bổ sung có mục tiêu bằng nguồn vốn ngoài nước</t>
  </si>
  <si>
    <t>THU CHUYỂN NGUỒN</t>
  </si>
  <si>
    <t>THU KẾT DƯ NGÂN SÁCH</t>
  </si>
  <si>
    <t>SỐ KB (BSNS CẤP TRÊN)</t>
  </si>
  <si>
    <t>CHÊNH</t>
  </si>
  <si>
    <t>Các khoản thu NS ĐP hưởng 100%</t>
  </si>
  <si>
    <t>Các khoản thu phân chia NSĐP hưởng theo tỷ lệ phần trăm (%)</t>
  </si>
  <si>
    <t>So sánh</t>
  </si>
  <si>
    <t>Tuyệt đối</t>
  </si>
  <si>
    <t>TỔNG NGUỒN THU NSĐP</t>
  </si>
  <si>
    <t>Thu bổ sung cân đối ngân sách</t>
  </si>
  <si>
    <t>Thu từ quỹ dự trữ tài chính</t>
  </si>
  <si>
    <t>Thu chuyển nguồn từ năm trước chuyển sang</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</si>
  <si>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</si>
  <si>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</si>
  <si>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</si>
  <si>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</si>
  <si>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</si>
  <si>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</si>
  <si>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3=2/1</t>
  </si>
  <si>
    <t>Thuế thu nhập cá nhân</t>
  </si>
  <si>
    <t>Thuế bảo vệ môi trường</t>
  </si>
  <si>
    <t>Nguồn thu ngân sách</t>
  </si>
  <si>
    <t>Thu ngân sách được hưởng theo phân cấp</t>
  </si>
  <si>
    <t>Thu bổ sung từ ngân sách cấp trên</t>
  </si>
  <si>
    <t>Thu kết dư</t>
  </si>
  <si>
    <t>Chi ngân sách</t>
  </si>
  <si>
    <t>Chi bổ sung cân đối ngân sách</t>
  </si>
  <si>
    <t>Chi bổ sung có mục tiêu</t>
  </si>
  <si>
    <t>Chi bổ sung cho ngân sách cấp dưới</t>
  </si>
  <si>
    <t>3=2-1</t>
  </si>
  <si>
    <t>4=2/1</t>
  </si>
  <si>
    <t>Thu NSĐP được hưởng theo phân cấp</t>
  </si>
  <si>
    <t>Thu NSĐP hưởng 100%</t>
  </si>
  <si>
    <t>Thu NSĐP hưởng từ các khoản thu phân chia</t>
  </si>
  <si>
    <t>Chi đầu tư phát triển</t>
  </si>
  <si>
    <t>TỔNG MỨC VAY CỦA NSĐP</t>
  </si>
  <si>
    <t>So sánh (%)</t>
  </si>
  <si>
    <t>Thuế sử dụng đất nông nghiệp</t>
  </si>
  <si>
    <t>Thuế sử dụng đất phi nông nghiệp</t>
  </si>
  <si>
    <t>Thu tiền cấp quyền khai thác khoáng sản</t>
  </si>
  <si>
    <t>Thu khác ngân sách</t>
  </si>
  <si>
    <t>Thuế nhập khẩu</t>
  </si>
  <si>
    <t>Thu khác</t>
  </si>
  <si>
    <t>Thu viện trợ</t>
  </si>
  <si>
    <t>Tương đối (%)</t>
  </si>
  <si>
    <t>Chi giáo dục - đào tạo và dạy nghề</t>
  </si>
  <si>
    <t>Chi khoa học và công nghệ</t>
  </si>
  <si>
    <t>Chi đầu tư phát triển khác</t>
  </si>
  <si>
    <t>VI</t>
  </si>
  <si>
    <t>CHI CÁC CHƯƠNG TRÌNH MỤC TIÊU</t>
  </si>
  <si>
    <t>Lệ phí trước bạ</t>
  </si>
  <si>
    <t xml:space="preserve">Chi thuộc nhiệm vụ của ngân sách cấp huyện </t>
  </si>
  <si>
    <t xml:space="preserve">Chi bổ sung cho ngân sách cấp dưới </t>
  </si>
  <si>
    <t>Chi nộp trả ngân sách cấp trên</t>
  </si>
  <si>
    <t xml:space="preserve">Chương trình giảm nghèo nhanh và bền vững   </t>
  </si>
  <si>
    <t>1.1</t>
  </si>
  <si>
    <t xml:space="preserve"> Dự án 1: Chương trình 30a</t>
  </si>
  <si>
    <t>1.2</t>
  </si>
  <si>
    <t>Dự án 2: Chương trình 135</t>
  </si>
  <si>
    <t>1.3</t>
  </si>
  <si>
    <t>Dự án 3: Hỗ trợ phát triển sản xuất, đa dạng hóa sinh kế và nhân rộng mô hình giảm nghèo trên địa bàn các xã ngoài Chương trình 30a và Chương trình 135</t>
  </si>
  <si>
    <t xml:space="preserve">Chi trả nợ gốc </t>
  </si>
  <si>
    <t xml:space="preserve">Kết dư NSĐP </t>
  </si>
  <si>
    <t>Vay trả nợ gốc từ nguồn chính phủ cho vay lại</t>
  </si>
  <si>
    <t>A.1.</t>
  </si>
  <si>
    <t>Tổng số thu</t>
  </si>
  <si>
    <t>A.2</t>
  </si>
  <si>
    <t>Tổng số chi</t>
  </si>
  <si>
    <t>A.3</t>
  </si>
  <si>
    <t>1.4</t>
  </si>
  <si>
    <t xml:space="preserve"> Dự án 4: Truyền thông và giảm nghèo về thông tin</t>
  </si>
  <si>
    <t>1.5</t>
  </si>
  <si>
    <t xml:space="preserve"> Dự án 5: Nâng cao năng lực và giám sát, đánh giá thực hiện Chương trình</t>
  </si>
  <si>
    <t xml:space="preserve"> Chương trình Việc làm và Dạy nghề</t>
  </si>
  <si>
    <t>* Vốn đầu tư</t>
  </si>
  <si>
    <t>* Vốn sự nghiệp</t>
  </si>
  <si>
    <t>Chương trình Xây dựng nông thôn mới</t>
  </si>
  <si>
    <t>* Chi đầu tư</t>
  </si>
  <si>
    <t xml:space="preserve"> - Vốn chương trình</t>
  </si>
  <si>
    <t xml:space="preserve"> - Vốn TPCP</t>
  </si>
  <si>
    <t>* Chi sự nghiệp</t>
  </si>
  <si>
    <t>Chương trình phòng, chống ma túy (cũ)</t>
  </si>
  <si>
    <t xml:space="preserve"> Chương trình MTQG văn hóa (cũ)</t>
  </si>
  <si>
    <t xml:space="preserve"> Đầu tư các dự án từ nguồn vốn nước ngoài </t>
  </si>
  <si>
    <t xml:space="preserve"> Đầu tư các DA từ nguồn vốn trong nước</t>
  </si>
  <si>
    <t>Vốn trái phiếu chính phủ</t>
  </si>
  <si>
    <t xml:space="preserve"> DA di dân tái định cư thủy điện Sơn la</t>
  </si>
  <si>
    <t>DA đường giao thông Huổi Mí</t>
  </si>
  <si>
    <t>Chương trình Kiên cố hóa trường lớp</t>
  </si>
  <si>
    <t>Thủy lợi</t>
  </si>
  <si>
    <t>Vốn sự nghiệp</t>
  </si>
  <si>
    <t>Chương trình mục tiêu về Y tế và dân số</t>
  </si>
  <si>
    <t>Chương trình mục tiêu phát triển văn hóa</t>
  </si>
  <si>
    <t>Chương trình mục tiêu Hỗ trợ phát triển hệ thống trợ giúp XH</t>
  </si>
  <si>
    <t>Chương trình  quốc gia bảo vệ trẻ em (cũ)</t>
  </si>
  <si>
    <t>KP hỗ trợ cho phụ nữ thuộc hộ nghèo là người DTTS sinh con đúng CS..</t>
  </si>
  <si>
    <t>Đo đạc, lập CSDL HSĐC và CGCN QSDĐ trong gianh giới QH đất</t>
  </si>
  <si>
    <t>DA hoàn thiện, hiện đại hóa hồ sơ, BĐ ĐGHC và XDCSDL ĐGHC</t>
  </si>
  <si>
    <t>Chính sách trợ giúp pháp lý theo QĐ 32/QĐ-TTg</t>
  </si>
  <si>
    <t>KP phân giới cắm mốc biên  giới Việt - Lào</t>
  </si>
  <si>
    <t>Chương trình mục tiêu tái cơ cấu kinh tế NN, phòng chống giảm nhẹ thiên tai, ổn định đời sống dân cư (Sắp xếp lại dân cư những nơi cần thiết theo QĐ 193 và QĐ 1776 )</t>
  </si>
  <si>
    <t>Đề án dân tộc cống</t>
  </si>
  <si>
    <t>TỔNG HỢP CÂN ĐỐI QUYẾT TOÁN NGÂN SÁCH ĐỊA PHƯƠNG NĂM 2017 SAU KHI QUYẾT TOÁN BỔ SUNG</t>
  </si>
  <si>
    <t>TỔNG HỢP QUYẾT TOÁN THU NSNN, VAY NSĐP NĂM 2017 SAU KHI QUYẾT TOÁN BỔ SUNG</t>
  </si>
  <si>
    <t>Trung ương giao</t>
  </si>
  <si>
    <t>HĐND tỉnh quyết định</t>
  </si>
  <si>
    <t>Vay trả nợ gốc từ nguồn Chính phủ cho vay lại</t>
  </si>
  <si>
    <t xml:space="preserve"> - Từ nguồn Chính phủ vay về cho vay lại</t>
  </si>
  <si>
    <t>TỔNG HỢP QUYẾT TOÁN CHI NGÂN SÁCH CẤP TỈNH CHO TỪNG CƠ QUAN, TỔ CHỨC THEO LĨNH VỰC NĂM 2017 SAU KHI QUYẾT TOÁN BỔ SUNG</t>
  </si>
  <si>
    <t>TỔNG HỢP QUYẾT TOÁN CHI THƯỜNG XUYÊN CỦA NGÂN SÁCH CẤP TỈNH CHO TỪNG CƠ QUAN, TỔ CHỨC THEO LĨNH VỰC NĂM 2017 SAU KHI QUYẾT TOÁN BỔ SUNG</t>
  </si>
  <si>
    <t>TỔNG HƠP QUYẾT TOÁN CHI NGÂN SÁCH ĐỊA PHƯƠNG TỪNG HUYỆN NĂM 2017 SAU KHI QUYẾT TOÁN BỔ SUNG</t>
  </si>
  <si>
    <t>TỔNG HỢP QUYẾT TOÁN CHI BỔ SUNG TỪ NGÂN SÁCH CẤP TỈNH  CHO NGÂN SÁCH TỪNG HUYỆN  NĂM 2017 SAU KHI QUYẾT TOÁN BỔ SUNG</t>
  </si>
  <si>
    <t>TỔNG HỢP QUYẾT TOÁN THU NGÂN SÁCH HUYỆN  NĂM 2017 SAU KHI QUYẾT TOÁN BỔ SUNG</t>
  </si>
  <si>
    <t>Ban QLDA giảm nghèo</t>
  </si>
  <si>
    <t>Hoàn trả các khoản thu năm trước</t>
  </si>
  <si>
    <t>Ghi chú</t>
  </si>
  <si>
    <t>TỔNG HỢP QUYẾT TOÁN CHI NGÂN SÁCH ĐỊA PHƯƠNG NĂM 2017 THEO LĨNH VỰC SAU KHI QUYẾT TOÁN BỔ SUNG</t>
  </si>
  <si>
    <t>TỔNG HỢP QUYẾT TOÁN CÂN ĐỐI NGÂN SÁCH ĐỊA PHƯƠNG NĂM 2017 
SAU KHI QUYẾT TOÁN BỔ SUNG</t>
  </si>
  <si>
    <t>TỔNG HỢP QUYẾT TOÁN NGUỒN THU NGÂN SÁCH NHÀ NƯỚC TRÊN ĐỊA BÀN THEO LĨNH VỰC NĂM 2017 
SAU KHI QUYẾT TOÁN BỔ SUNG</t>
  </si>
  <si>
    <t>TỔNG HỢP QUYẾT TOÁN CHI NGÂN SÁCH ĐỊA PHƯƠNG THEO LĨNH VỰC NĂM 2017 
SAU KHI QUYẾT TOÁN BỔ SUNG</t>
  </si>
  <si>
    <t>TỔNG HỢP QUYẾT TOÁN CHI NGÂN SÁCH CẤP TỈNH  THEO LĨNH VỰC NĂM 2017
 SAU KHI QUYẾT TOÁN BỔ SUNG</t>
  </si>
  <si>
    <t>TỔNG HỢP QUYẾT TOÁN CHI NGÂN SÁCH ĐỊA PHƯƠNG, CHI NGÂN SÁCH CẤP TỈNH  VÀ CHI NGÂN SÁCH HUYỆN THEO CƠ CẤU CHI NĂM 2017 
SAU KHI QUYẾT TOÁN BỔ SUNG</t>
  </si>
  <si>
    <t>TỔNG HỢP QUYẾT TOÁN CHI THƯỜNG XUYÊN NGÂN SÁCH CẤP TỈNH  CỦA TỪNG CƠ QUAN, TỔ CHỨC THEO NGUỒN VỐN NĂM 2017 SAU KHI QUYẾT TOÁN BỔ SUNG</t>
  </si>
  <si>
    <t>Biểu số 1</t>
  </si>
  <si>
    <t>BỂU TỔNG HỢP THUYẾT MINH QUYẾT TOÁN THU NĂM 2017 VÀ QUYẾT TOÁN BỔ SUNG</t>
  </si>
  <si>
    <t>Quyết toán theo Nghị quyết 104/NQ-HĐND</t>
  </si>
  <si>
    <t>Quyết toán bổ sung</t>
  </si>
  <si>
    <t>Tổng số quyết toán sau khi quyết toán bổ sung</t>
  </si>
  <si>
    <t>3=1+2</t>
  </si>
  <si>
    <t xml:space="preserve">                 - Thu từ hàng hóa sản xuất trong nước</t>
  </si>
  <si>
    <t>THU NGÂN SÁCH ĐỊA PHƯƠNG</t>
  </si>
  <si>
    <t>Thu NSNN trên địa bàn địa phương hưởng</t>
  </si>
  <si>
    <t xml:space="preserve"> Các khoản thu NSĐP hưởng 100%</t>
  </si>
  <si>
    <t>Các khoản thu phân chia theo tỷ lệ %</t>
  </si>
  <si>
    <t>1.</t>
  </si>
  <si>
    <t>2.</t>
  </si>
  <si>
    <t>Thu chuyển nguồn năm trước sang</t>
  </si>
  <si>
    <t>Thu kết dư ngân sách</t>
  </si>
  <si>
    <t>Thu vay để trả nợ gốc</t>
  </si>
  <si>
    <t>Biểu số 2</t>
  </si>
  <si>
    <t>BIỂU TỔNG HỢP THUYẾT MINH QUYẾT TOÁN CHI NSĐP NĂM 2017 SAU KHI QUYẾT TOÁN BỔ SUNG</t>
  </si>
  <si>
    <t>Stt</t>
  </si>
  <si>
    <t>Chi nộp ngân sách cấp trên</t>
  </si>
  <si>
    <t>Biểu mẫu số 3</t>
  </si>
  <si>
    <t>QUYẾT TOÁN BỔ SUNG CHI THƯỜNG XUYÊN THEO LĨNH VỰC NĂM 2017</t>
  </si>
  <si>
    <t>Khối tỉnh</t>
  </si>
  <si>
    <t>Khối huyện, thị xã, thành phố</t>
  </si>
  <si>
    <t>Biểu mẫu số 04</t>
  </si>
  <si>
    <t>TỔNG HỢP QUYẾT TOÁN CÂN ĐỐI THU, CHI NGÂN SÁCH THEO PHÂN CẤP NĂM 2017 SAU KHI QUYẾT TOÁN BỔ SUNG</t>
  </si>
  <si>
    <t>Tổng hơp sau khi quyết toán bổ sung</t>
  </si>
  <si>
    <t>Biểu số 5</t>
  </si>
  <si>
    <t>Biểu số 6</t>
  </si>
  <si>
    <t>Biểu số 7</t>
  </si>
  <si>
    <t>(Kèm theo Báo cáo số                 /BC-UBND ngày       tháng  6  năm 2019 của UBND tỉnh Điện Biên)</t>
  </si>
  <si>
    <t>TỔNG HỢP QUYẾT TOÁN CÂN ĐỐI NGUỒN THU, CHI NGÂN SÁCH CẤP TỈNH  VÀ NGÂN SÁCH HUYỆN  NĂM 2017 SAU KHI QUYẾT TOÁN BỔ SUNG</t>
  </si>
  <si>
    <t>ĐVT: Triệu đồng</t>
  </si>
  <si>
    <t>(Kèm theo Báo cáo số       /BC-UBND ngày       tháng  6  năm 2019 của UBND tỉnh Điện Biên)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</si>
</sst>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
    <numFmt numFmtId="175" formatCode="#,##0.000000"/>
    <numFmt numFmtId="176" formatCode="_(* #,##0_);_(* \(#,##0\);_(* &quot;-&quot;??_);_(@_)"/>
    <numFmt numFmtId="177" formatCode="#,###"/>
    <numFmt numFmtId="178" formatCode="#,##0;[Red]#,##0"/>
    <numFmt numFmtId="179" formatCode="#,##0.00;[Red]#,##0.00"/>
    <numFmt numFmtId="180" formatCode="#,##0.0"/>
    <numFmt numFmtId="181" formatCode="0.0000"/>
    <numFmt numFmtId="182" formatCode="0.000"/>
    <numFmt numFmtId="183" formatCode="0.0"/>
    <numFmt numFmtId="184" formatCode="#,##0.0000000"/>
    <numFmt numFmtId="185" formatCode="0.00000"/>
    <numFmt numFmtId="186" formatCode="0.000000"/>
    <numFmt numFmtId="187" formatCode="#,##0.00000000"/>
    <numFmt numFmtId="188" formatCode="_(* #,##0.000_);_(* \(#,##0.000\);_(* &quot;-&quot;??_);_(@_)"/>
    <numFmt numFmtId="189" formatCode="_(* #,##0.0000_);_(* \(#,##0.0000\);_(* &quot;-&quot;??_);_(@_)"/>
    <numFmt numFmtId="190" formatCode="_(* #,##0.00000_);_(* \(#,##0.00000\);_(* &quot;-&quot;??_);_(@_)"/>
    <numFmt numFmtId="191" formatCode="_(* #,##0.000000_);_(* \(#,##0.000000\);_(* &quot;-&quot;??_);_(@_)"/>
    <numFmt numFmtId="192" formatCode="_-* #,##0.000000\ _₫_-;\-* #,##0.000000\ _₫_-;_-* &quot;-&quot;??????\ _₫_-;_-@_-"/>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00000000"/>
    <numFmt numFmtId="200" formatCode="#,##0.0000000000000000"/>
    <numFmt numFmtId="201" formatCode="#,##0.000000;[Red]#,##0.000000"/>
  </numFmts>
  <fonts count="92">
    <font>
      <sz val="11"/>
      <color theme="1"/>
      <name val="Arial"/>
      <family val="2"/>
    </font>
    <font>
      <sz val="12"/>
      <color indexed="8"/>
      <name val="Times New Roman"/>
      <family val="2"/>
    </font>
    <font>
      <b/>
      <sz val="12"/>
      <color indexed="8"/>
      <name val="Times New Roman"/>
      <family val="1"/>
    </font>
    <font>
      <i/>
      <sz val="12"/>
      <color indexed="8"/>
      <name val="Times New Roman"/>
      <family val="1"/>
    </font>
    <font>
      <b/>
      <i/>
      <sz val="12"/>
      <color indexed="8"/>
      <name val="Times New Roman"/>
      <family val="1"/>
    </font>
    <font>
      <sz val="10"/>
      <color indexed="8"/>
      <name val="Times New Roman"/>
      <family val="1"/>
    </font>
    <font>
      <sz val="10"/>
      <color indexed="8"/>
      <name val="Calibri"/>
      <family val="2"/>
    </font>
    <font>
      <b/>
      <sz val="12"/>
      <name val="Times New Roman"/>
      <family val="1"/>
    </font>
    <font>
      <i/>
      <sz val="12"/>
      <name val="Times New Roman"/>
      <family val="1"/>
    </font>
    <font>
      <sz val="12"/>
      <name val="Times New Roman"/>
      <family val="1"/>
    </font>
    <font>
      <b/>
      <sz val="11"/>
      <color indexed="8"/>
      <name val="Calibri"/>
      <family val="2"/>
    </font>
    <font>
      <sz val="11"/>
      <color indexed="8"/>
      <name val="Calibri"/>
      <family val="2"/>
    </font>
    <font>
      <sz val="8"/>
      <name val="Calibri"/>
      <family val="2"/>
    </font>
    <font>
      <sz val="10"/>
      <color indexed="8"/>
      <name val="MS Sans Serif"/>
      <family val="2"/>
    </font>
    <font>
      <sz val="11"/>
      <name val="Times New Roman"/>
      <family val="1"/>
    </font>
    <font>
      <b/>
      <sz val="11"/>
      <name val="Times New Roman"/>
      <family val="1"/>
    </font>
    <font>
      <i/>
      <sz val="11"/>
      <name val="Times New Roman"/>
      <family val="1"/>
    </font>
    <font>
      <sz val="11"/>
      <color indexed="56"/>
      <name val="Calibri"/>
      <family val="2"/>
    </font>
    <font>
      <sz val="11"/>
      <name val="Calibri"/>
      <family val="2"/>
    </font>
    <font>
      <b/>
      <sz val="12"/>
      <color indexed="56"/>
      <name val="Times New Roman"/>
      <family val="1"/>
    </font>
    <font>
      <sz val="12"/>
      <color indexed="56"/>
      <name val="Times New Roman"/>
      <family val="1"/>
    </font>
    <font>
      <b/>
      <sz val="10"/>
      <color indexed="8"/>
      <name val="MS Sans Serif"/>
      <family val="2"/>
    </font>
    <font>
      <b/>
      <sz val="13"/>
      <color indexed="8"/>
      <name val="Times New Roman"/>
      <family val="1"/>
    </font>
    <font>
      <b/>
      <sz val="14"/>
      <color indexed="8"/>
      <name val="Times New Roman"/>
      <family val="1"/>
    </font>
    <font>
      <sz val="10"/>
      <name val="Times New Roman"/>
      <family val="1"/>
    </font>
    <font>
      <b/>
      <sz val="10"/>
      <name val="Times New Roman"/>
      <family val="1"/>
    </font>
    <font>
      <b/>
      <sz val="14"/>
      <name val="Times New Roman"/>
      <family val="1"/>
    </font>
    <font>
      <sz val="11"/>
      <color indexed="8"/>
      <name val="times new roman"/>
      <family val="2"/>
    </font>
    <font>
      <i/>
      <sz val="14"/>
      <name val="Times New Roman"/>
      <family val="1"/>
    </font>
    <font>
      <sz val="14"/>
      <name val="Times New Roman"/>
      <family val="1"/>
    </font>
    <font>
      <sz val="8"/>
      <name val="Tahoma"/>
      <family val="2"/>
    </font>
    <font>
      <b/>
      <sz val="8"/>
      <name val="Tahoma"/>
      <family val="2"/>
    </font>
    <font>
      <i/>
      <sz val="14"/>
      <color indexed="8"/>
      <name val="Times New Roman"/>
      <family val="1"/>
    </font>
    <font>
      <b/>
      <i/>
      <sz val="12"/>
      <name val="Times New Roman"/>
      <family val="1"/>
    </font>
    <font>
      <b/>
      <sz val="13"/>
      <name val="Times New Roman"/>
      <family val="1"/>
    </font>
    <font>
      <sz val="13"/>
      <name val="Times New Roman"/>
      <family val="1"/>
    </font>
    <font>
      <sz val="13"/>
      <color indexed="8"/>
      <name val="Times New Roman"/>
      <family val="1"/>
    </font>
    <font>
      <sz val="13"/>
      <color indexed="56"/>
      <name val="Times New Roman"/>
      <family val="1"/>
    </font>
    <font>
      <sz val="13"/>
      <color indexed="8"/>
      <name val="MS Sans Serif"/>
      <family val="2"/>
    </font>
    <font>
      <sz val="10"/>
      <name val="MS Sans Serif"/>
      <family val="2"/>
    </font>
    <font>
      <b/>
      <sz val="10"/>
      <name val="MS Sans Serif"/>
      <family val="2"/>
    </font>
    <font>
      <i/>
      <sz val="13"/>
      <color indexed="8"/>
      <name val="Times New Roman"/>
      <family val="1"/>
    </font>
    <font>
      <sz val="8"/>
      <name val="Times New Roman"/>
      <family val="1"/>
    </font>
    <font>
      <b/>
      <sz val="18"/>
      <color indexed="8"/>
      <name val="Times New Roman"/>
      <family val="1"/>
    </font>
    <font>
      <sz val="10"/>
      <name val="Arial"/>
      <family val="2"/>
    </font>
    <font>
      <sz val="12"/>
      <name val=".VnTime"/>
      <family val="2"/>
    </font>
    <font>
      <sz val="14"/>
      <name val=".VnTime"/>
      <family val="2"/>
    </font>
    <font>
      <sz val="10"/>
      <name val=".VnTime"/>
      <family val="2"/>
    </font>
    <font>
      <b/>
      <sz val="13.5"/>
      <name val="Times New Roman"/>
      <family val="1"/>
    </font>
    <font>
      <sz val="12"/>
      <color indexed="10"/>
      <name val="Times New Roman"/>
      <family val="1"/>
    </font>
    <font>
      <sz val="13"/>
      <color indexed="10"/>
      <name val="Times New Roman"/>
      <family val="1"/>
    </font>
    <font>
      <sz val="11"/>
      <color indexed="10"/>
      <name val="Times New Roman"/>
      <family val="1"/>
    </font>
    <font>
      <i/>
      <sz val="13"/>
      <name val="Times New Roman"/>
      <family val="1"/>
    </font>
    <font>
      <sz val="13"/>
      <name val="MS Sans Serif"/>
      <family val="2"/>
    </font>
    <font>
      <sz val="8"/>
      <name val="Arial"/>
      <family val="2"/>
    </font>
    <font>
      <i/>
      <sz val="10"/>
      <color indexed="8"/>
      <name val="Times New Roman"/>
      <family val="1"/>
    </font>
    <font>
      <sz val="14"/>
      <color indexed="8"/>
      <name val="Times New Roman"/>
      <family val="1"/>
    </font>
    <font>
      <sz val="11"/>
      <color indexed="8"/>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Times New Roman"/>
      <family val="2"/>
    </font>
    <font>
      <b/>
      <sz val="12"/>
      <color theme="1"/>
      <name val="Times New Roman"/>
      <family val="2"/>
    </font>
    <font>
      <sz val="12"/>
      <color rgb="FFFF0000"/>
      <name val="Times New Roman"/>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color indexed="63"/>
      </top>
      <bottom style="hair"/>
    </border>
    <border>
      <left style="thin"/>
      <right>
        <color indexed="63"/>
      </right>
      <top style="thin"/>
      <bottom style="hair"/>
    </border>
    <border>
      <left style="thin"/>
      <right style="thin"/>
      <top style="hair"/>
      <bottom>
        <color indexed="63"/>
      </bottom>
    </border>
    <border>
      <left>
        <color indexed="63"/>
      </left>
      <right style="thin"/>
      <top style="thin"/>
      <bottom style="hair"/>
    </border>
    <border>
      <left style="thin"/>
      <right style="thin"/>
      <top style="thin"/>
      <bottom>
        <color indexed="63"/>
      </bottom>
    </border>
    <border>
      <left style="thin"/>
      <right>
        <color indexed="63"/>
      </right>
      <top style="hair"/>
      <bottom style="hair"/>
    </border>
    <border>
      <left style="hair"/>
      <right style="thin"/>
      <top style="hair"/>
      <bottom style="hair"/>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style="thin"/>
      <right/>
      <top style="thin"/>
      <bottom/>
    </border>
    <border>
      <left style="thin"/>
      <right/>
      <top/>
      <bottom style="thin"/>
    </border>
    <border>
      <left style="thin"/>
      <right style="thin"/>
      <top/>
      <bottom/>
    </border>
    <border>
      <left style="thin"/>
      <right/>
      <top style="thin"/>
      <bottom style="thin"/>
    </border>
    <border>
      <left/>
      <right/>
      <top style="thin"/>
      <bottom style="thin"/>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13" fillId="0" borderId="0">
      <alignment/>
      <protection/>
    </xf>
    <xf numFmtId="0" fontId="76" fillId="26" borderId="1" applyNumberFormat="0" applyAlignment="0" applyProtection="0"/>
    <xf numFmtId="171" fontId="11" fillId="0" borderId="0" applyFont="0" applyFill="0" applyBorder="0" applyAlignment="0" applyProtection="0"/>
    <xf numFmtId="169" fontId="11" fillId="0" borderId="0" applyFont="0" applyFill="0" applyBorder="0" applyAlignment="0" applyProtection="0"/>
    <xf numFmtId="171" fontId="44" fillId="0" borderId="0" applyFont="0" applyFill="0" applyBorder="0" applyAlignment="0" applyProtection="0"/>
    <xf numFmtId="171" fontId="44" fillId="0" borderId="0" applyFont="0" applyFill="0" applyBorder="0" applyAlignment="0" applyProtection="0"/>
    <xf numFmtId="178" fontId="11"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0" fontId="77" fillId="27" borderId="2" applyNumberFormat="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1" applyNumberFormat="0" applyAlignment="0" applyProtection="0"/>
    <xf numFmtId="0" fontId="85" fillId="0" borderId="6" applyNumberFormat="0" applyFill="0" applyAlignment="0" applyProtection="0"/>
    <xf numFmtId="0" fontId="86" fillId="30" borderId="0" applyNumberFormat="0" applyBorder="0" applyAlignment="0" applyProtection="0"/>
    <xf numFmtId="0" fontId="46" fillId="0" borderId="0">
      <alignment/>
      <protection/>
    </xf>
    <xf numFmtId="0" fontId="11" fillId="0" borderId="0">
      <alignment/>
      <protection/>
    </xf>
    <xf numFmtId="0" fontId="44" fillId="0" borderId="0">
      <alignment/>
      <protection/>
    </xf>
    <xf numFmtId="0" fontId="45" fillId="0" borderId="0">
      <alignment/>
      <protection/>
    </xf>
    <xf numFmtId="0" fontId="11" fillId="0" borderId="0">
      <alignment/>
      <protection/>
    </xf>
    <xf numFmtId="0" fontId="9" fillId="0" borderId="0">
      <alignment/>
      <protection/>
    </xf>
    <xf numFmtId="0" fontId="27" fillId="0" borderId="0">
      <alignment/>
      <protection/>
    </xf>
    <xf numFmtId="0" fontId="44" fillId="0" borderId="0">
      <alignment/>
      <protection/>
    </xf>
    <xf numFmtId="0" fontId="44" fillId="0" borderId="0">
      <alignment/>
      <protection/>
    </xf>
    <xf numFmtId="0" fontId="27" fillId="0" borderId="0">
      <alignment/>
      <protection/>
    </xf>
    <xf numFmtId="0" fontId="11" fillId="0" borderId="0">
      <alignment/>
      <protection/>
    </xf>
    <xf numFmtId="0" fontId="11" fillId="31" borderId="7" applyNumberFormat="0" applyFont="0" applyAlignment="0" applyProtection="0"/>
    <xf numFmtId="0" fontId="87" fillId="26" borderId="8" applyNumberFormat="0" applyAlignment="0" applyProtection="0"/>
    <xf numFmtId="9"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0" fontId="13"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13" fillId="0" borderId="0">
      <alignment/>
      <protection/>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21">
    <xf numFmtId="0" fontId="0" fillId="0" borderId="0" xfId="0" applyAlignment="1">
      <alignment/>
    </xf>
    <xf numFmtId="0" fontId="2" fillId="0" borderId="0" xfId="0" applyFont="1" applyAlignment="1">
      <alignment horizontal="right" vertical="center"/>
    </xf>
    <xf numFmtId="0" fontId="3" fillId="0" borderId="0" xfId="0" applyFont="1" applyAlignment="1">
      <alignment horizontal="righ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xf>
    <xf numFmtId="0" fontId="5" fillId="0" borderId="10" xfId="0" applyFont="1" applyBorder="1" applyAlignment="1">
      <alignment horizontal="center" vertical="center" wrapText="1"/>
    </xf>
    <xf numFmtId="0" fontId="6"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4" fontId="2" fillId="0" borderId="11" xfId="0" applyNumberFormat="1" applyFont="1" applyBorder="1" applyAlignment="1">
      <alignment horizontal="center" vertical="center" wrapText="1"/>
    </xf>
    <xf numFmtId="0" fontId="11" fillId="0" borderId="0" xfId="0" applyFont="1" applyAlignment="1">
      <alignment/>
    </xf>
    <xf numFmtId="0" fontId="10" fillId="0" borderId="0" xfId="0" applyFont="1" applyAlignment="1">
      <alignment/>
    </xf>
    <xf numFmtId="4" fontId="0" fillId="0" borderId="0" xfId="0" applyNumberFormat="1" applyAlignment="1">
      <alignment/>
    </xf>
    <xf numFmtId="0" fontId="7" fillId="32" borderId="12" xfId="71" applyFont="1" applyFill="1" applyBorder="1" applyAlignment="1">
      <alignment vertical="center" wrapText="1"/>
      <protection/>
    </xf>
    <xf numFmtId="3" fontId="7" fillId="32" borderId="12" xfId="0" applyNumberFormat="1" applyFont="1" applyFill="1" applyBorder="1" applyAlignment="1">
      <alignment horizontal="left"/>
    </xf>
    <xf numFmtId="3" fontId="7" fillId="32" borderId="12" xfId="0" applyNumberFormat="1" applyFont="1" applyFill="1" applyBorder="1" applyAlignment="1">
      <alignment horizontal="center"/>
    </xf>
    <xf numFmtId="3" fontId="7" fillId="32" borderId="12" xfId="0" applyNumberFormat="1" applyFont="1" applyFill="1" applyBorder="1" applyAlignment="1">
      <alignment/>
    </xf>
    <xf numFmtId="3" fontId="9" fillId="32" borderId="12" xfId="0" applyNumberFormat="1" applyFont="1" applyFill="1" applyBorder="1" applyAlignment="1">
      <alignment/>
    </xf>
    <xf numFmtId="3" fontId="9" fillId="32" borderId="12" xfId="0" applyNumberFormat="1" applyFont="1" applyFill="1" applyBorder="1" applyAlignment="1">
      <alignment horizontal="left"/>
    </xf>
    <xf numFmtId="3" fontId="9" fillId="32" borderId="12" xfId="0" applyNumberFormat="1" applyFont="1" applyFill="1" applyBorder="1" applyAlignment="1">
      <alignment horizontal="left" vertical="center" wrapText="1"/>
    </xf>
    <xf numFmtId="4" fontId="1" fillId="0" borderId="12" xfId="0" applyNumberFormat="1" applyFont="1" applyBorder="1" applyAlignment="1">
      <alignment horizontal="right" vertical="center" wrapText="1"/>
    </xf>
    <xf numFmtId="9" fontId="2" fillId="0" borderId="12" xfId="74" applyFont="1" applyBorder="1" applyAlignment="1">
      <alignment horizontal="right" vertical="center" wrapText="1"/>
    </xf>
    <xf numFmtId="0" fontId="2" fillId="0" borderId="11" xfId="0" applyFont="1" applyBorder="1" applyAlignment="1">
      <alignment horizontal="right" vertical="center" wrapText="1"/>
    </xf>
    <xf numFmtId="4" fontId="2" fillId="0" borderId="12" xfId="0" applyNumberFormat="1" applyFont="1" applyBorder="1" applyAlignment="1">
      <alignment horizontal="right" vertical="center" wrapText="1"/>
    </xf>
    <xf numFmtId="9" fontId="1" fillId="0" borderId="12" xfId="74" applyFont="1" applyBorder="1" applyAlignment="1">
      <alignment horizontal="right" vertical="center" wrapText="1"/>
    </xf>
    <xf numFmtId="0" fontId="1" fillId="0" borderId="13" xfId="0" applyFont="1" applyBorder="1" applyAlignment="1">
      <alignment horizontal="right" vertical="center" wrapText="1"/>
    </xf>
    <xf numFmtId="3" fontId="9" fillId="32" borderId="12" xfId="0" applyNumberFormat="1" applyFont="1" applyFill="1" applyBorder="1" applyAlignment="1">
      <alignment/>
    </xf>
    <xf numFmtId="0" fontId="9" fillId="32" borderId="12" xfId="0" applyFont="1" applyFill="1" applyBorder="1" applyAlignment="1">
      <alignment horizontal="justify" vertical="center"/>
    </xf>
    <xf numFmtId="0" fontId="14" fillId="32" borderId="12" xfId="0" applyFont="1" applyFill="1" applyBorder="1" applyAlignment="1">
      <alignment wrapText="1"/>
    </xf>
    <xf numFmtId="3" fontId="9" fillId="32" borderId="12" xfId="0" applyNumberFormat="1" applyFont="1" applyFill="1" applyBorder="1" applyAlignment="1">
      <alignment wrapText="1"/>
    </xf>
    <xf numFmtId="3" fontId="1" fillId="0" borderId="12" xfId="0" applyNumberFormat="1" applyFont="1" applyBorder="1" applyAlignment="1">
      <alignment vertical="center" wrapText="1"/>
    </xf>
    <xf numFmtId="3" fontId="1" fillId="0" borderId="13" xfId="0" applyNumberFormat="1" applyFont="1" applyBorder="1" applyAlignment="1">
      <alignment vertical="center" wrapText="1"/>
    </xf>
    <xf numFmtId="3" fontId="2" fillId="0" borderId="11" xfId="0" applyNumberFormat="1" applyFont="1" applyBorder="1" applyAlignment="1">
      <alignment vertical="center" wrapText="1"/>
    </xf>
    <xf numFmtId="3" fontId="9" fillId="32" borderId="12"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9" fillId="32" borderId="12" xfId="0" applyFont="1" applyFill="1" applyBorder="1" applyAlignment="1">
      <alignment vertical="center" wrapText="1"/>
    </xf>
    <xf numFmtId="0" fontId="7" fillId="32" borderId="12" xfId="0" applyFont="1" applyFill="1" applyBorder="1" applyAlignment="1">
      <alignment horizontal="center" vertical="center" wrapText="1"/>
    </xf>
    <xf numFmtId="0" fontId="7" fillId="32" borderId="12" xfId="0" applyFont="1" applyFill="1" applyBorder="1" applyAlignment="1">
      <alignment vertical="center" wrapText="1"/>
    </xf>
    <xf numFmtId="0" fontId="8" fillId="32" borderId="12" xfId="0" applyFont="1" applyFill="1" applyBorder="1" applyAlignment="1">
      <alignment vertical="center" wrapText="1"/>
    </xf>
    <xf numFmtId="0" fontId="1" fillId="32" borderId="13" xfId="0" applyFont="1" applyFill="1" applyBorder="1" applyAlignment="1">
      <alignment horizontal="center" vertical="center" wrapText="1"/>
    </xf>
    <xf numFmtId="4" fontId="1" fillId="32" borderId="12" xfId="0" applyNumberFormat="1" applyFont="1" applyFill="1" applyBorder="1" applyAlignment="1">
      <alignment horizontal="right" vertical="center" wrapText="1"/>
    </xf>
    <xf numFmtId="4" fontId="2" fillId="32" borderId="12" xfId="0" applyNumberFormat="1" applyFont="1" applyFill="1" applyBorder="1" applyAlignment="1">
      <alignment horizontal="center" vertical="center" wrapText="1"/>
    </xf>
    <xf numFmtId="0" fontId="13" fillId="32" borderId="0" xfId="0" applyFont="1" applyFill="1" applyAlignment="1">
      <alignment vertical="center"/>
    </xf>
    <xf numFmtId="3" fontId="13" fillId="32" borderId="0" xfId="0" applyNumberFormat="1" applyFont="1" applyFill="1" applyAlignment="1">
      <alignment horizontal="right" vertical="center"/>
    </xf>
    <xf numFmtId="3" fontId="17" fillId="32" borderId="0" xfId="0" applyNumberFormat="1" applyFont="1" applyFill="1" applyAlignment="1">
      <alignment horizontal="right" vertical="center"/>
    </xf>
    <xf numFmtId="175" fontId="18" fillId="32" borderId="0" xfId="0" applyNumberFormat="1" applyFont="1" applyFill="1" applyAlignment="1">
      <alignment horizontal="right" vertical="center"/>
    </xf>
    <xf numFmtId="175" fontId="13" fillId="32" borderId="0" xfId="0" applyNumberFormat="1" applyFont="1" applyFill="1" applyAlignment="1">
      <alignment horizontal="right" vertical="center"/>
    </xf>
    <xf numFmtId="175" fontId="17" fillId="32" borderId="0" xfId="0" applyNumberFormat="1" applyFont="1" applyFill="1" applyAlignment="1">
      <alignment horizontal="right" vertical="center"/>
    </xf>
    <xf numFmtId="9" fontId="13" fillId="32" borderId="0" xfId="0" applyNumberFormat="1" applyFont="1" applyFill="1" applyAlignment="1">
      <alignment horizontal="right" vertical="center"/>
    </xf>
    <xf numFmtId="9" fontId="17" fillId="32" borderId="0" xfId="0" applyNumberFormat="1" applyFont="1" applyFill="1" applyAlignment="1">
      <alignment horizontal="right" vertical="center"/>
    </xf>
    <xf numFmtId="9" fontId="13" fillId="32" borderId="0" xfId="0" applyNumberFormat="1" applyFont="1" applyFill="1" applyAlignment="1">
      <alignment vertical="center"/>
    </xf>
    <xf numFmtId="3" fontId="2" fillId="32" borderId="10" xfId="0" applyNumberFormat="1" applyFont="1" applyFill="1" applyBorder="1" applyAlignment="1">
      <alignment horizontal="center" vertical="center" wrapText="1"/>
    </xf>
    <xf numFmtId="9" fontId="2" fillId="32" borderId="10" xfId="0" applyNumberFormat="1" applyFont="1" applyFill="1" applyBorder="1" applyAlignment="1">
      <alignment horizontal="center" vertical="center" wrapText="1"/>
    </xf>
    <xf numFmtId="0" fontId="13" fillId="32" borderId="0" xfId="0" applyFont="1" applyFill="1" applyAlignment="1">
      <alignment horizontal="center" vertical="center"/>
    </xf>
    <xf numFmtId="175" fontId="19" fillId="32" borderId="10" xfId="0" applyNumberFormat="1" applyFont="1" applyFill="1" applyBorder="1" applyAlignment="1">
      <alignment horizontal="center" vertical="center" wrapText="1"/>
    </xf>
    <xf numFmtId="3" fontId="19" fillId="32" borderId="10" xfId="0" applyNumberFormat="1" applyFont="1" applyFill="1" applyBorder="1" applyAlignment="1">
      <alignment horizontal="center" vertical="center" wrapText="1"/>
    </xf>
    <xf numFmtId="9" fontId="19" fillId="32" borderId="10" xfId="0" applyNumberFormat="1" applyFont="1" applyFill="1" applyBorder="1" applyAlignment="1">
      <alignment horizontal="center" vertical="center" wrapText="1"/>
    </xf>
    <xf numFmtId="0" fontId="2" fillId="32" borderId="11" xfId="0" applyFont="1" applyFill="1" applyBorder="1" applyAlignment="1">
      <alignment vertical="center" wrapText="1"/>
    </xf>
    <xf numFmtId="0" fontId="9" fillId="32" borderId="12" xfId="0" applyFont="1" applyFill="1" applyBorder="1" applyAlignment="1">
      <alignment vertical="center"/>
    </xf>
    <xf numFmtId="0" fontId="1" fillId="32" borderId="13" xfId="0" applyFont="1" applyFill="1" applyBorder="1" applyAlignment="1">
      <alignment vertical="center" wrapText="1"/>
    </xf>
    <xf numFmtId="3" fontId="1" fillId="32" borderId="13" xfId="0" applyNumberFormat="1" applyFont="1" applyFill="1" applyBorder="1" applyAlignment="1">
      <alignment horizontal="right" vertical="center" wrapText="1"/>
    </xf>
    <xf numFmtId="3" fontId="20" fillId="32" borderId="13" xfId="0" applyNumberFormat="1" applyFont="1" applyFill="1" applyBorder="1" applyAlignment="1">
      <alignment horizontal="right" vertical="center" wrapText="1"/>
    </xf>
    <xf numFmtId="175" fontId="9" fillId="32" borderId="13" xfId="0" applyNumberFormat="1" applyFont="1" applyFill="1" applyBorder="1" applyAlignment="1">
      <alignment horizontal="right" vertical="center" wrapText="1"/>
    </xf>
    <xf numFmtId="175" fontId="1" fillId="32" borderId="13" xfId="0" applyNumberFormat="1" applyFont="1" applyFill="1" applyBorder="1" applyAlignment="1">
      <alignment horizontal="right" vertical="center" wrapText="1"/>
    </xf>
    <xf numFmtId="175" fontId="20" fillId="32" borderId="13" xfId="0" applyNumberFormat="1" applyFont="1" applyFill="1" applyBorder="1" applyAlignment="1">
      <alignment horizontal="right" vertical="center" wrapText="1"/>
    </xf>
    <xf numFmtId="9" fontId="1" fillId="32" borderId="13" xfId="0" applyNumberFormat="1" applyFont="1" applyFill="1" applyBorder="1" applyAlignment="1">
      <alignment horizontal="right" vertical="center" wrapText="1"/>
    </xf>
    <xf numFmtId="9" fontId="20" fillId="32" borderId="13" xfId="0" applyNumberFormat="1" applyFont="1" applyFill="1" applyBorder="1" applyAlignment="1">
      <alignment horizontal="right" vertical="center" wrapText="1"/>
    </xf>
    <xf numFmtId="0" fontId="0" fillId="32" borderId="0" xfId="0" applyFont="1" applyFill="1" applyAlignment="1">
      <alignment vertical="center"/>
    </xf>
    <xf numFmtId="3" fontId="0" fillId="32" borderId="0" xfId="0" applyNumberFormat="1" applyFont="1" applyFill="1" applyAlignment="1">
      <alignment horizontal="right" vertical="center"/>
    </xf>
    <xf numFmtId="175" fontId="0" fillId="32" borderId="0" xfId="0" applyNumberFormat="1" applyFont="1" applyFill="1" applyAlignment="1">
      <alignment horizontal="right" vertical="center"/>
    </xf>
    <xf numFmtId="9" fontId="0" fillId="32" borderId="0" xfId="0" applyNumberFormat="1" applyFont="1" applyFill="1" applyAlignment="1">
      <alignment horizontal="right" vertical="center"/>
    </xf>
    <xf numFmtId="0" fontId="21" fillId="32" borderId="0" xfId="0" applyFont="1" applyFill="1" applyAlignment="1">
      <alignment vertical="center"/>
    </xf>
    <xf numFmtId="0" fontId="0" fillId="0" borderId="11" xfId="0" applyBorder="1" applyAlignment="1">
      <alignment/>
    </xf>
    <xf numFmtId="0" fontId="0" fillId="0" borderId="12" xfId="0" applyBorder="1" applyAlignment="1">
      <alignment/>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7" fillId="32" borderId="0" xfId="0" applyFont="1" applyFill="1" applyAlignment="1">
      <alignment vertical="center"/>
    </xf>
    <xf numFmtId="3" fontId="14" fillId="0" borderId="0" xfId="70" applyNumberFormat="1" applyFont="1" applyAlignment="1">
      <alignment/>
      <protection/>
    </xf>
    <xf numFmtId="175" fontId="14" fillId="0" borderId="0" xfId="70" applyNumberFormat="1" applyFont="1" applyAlignment="1">
      <alignment/>
      <protection/>
    </xf>
    <xf numFmtId="0" fontId="14" fillId="0" borderId="0" xfId="70" applyFont="1" applyAlignment="1">
      <alignment/>
      <protection/>
    </xf>
    <xf numFmtId="0" fontId="7" fillId="0" borderId="0" xfId="70" applyFont="1" applyAlignment="1">
      <alignment horizontal="center" vertical="center"/>
      <protection/>
    </xf>
    <xf numFmtId="0" fontId="14" fillId="0" borderId="0" xfId="70" applyFont="1">
      <alignment/>
      <protection/>
    </xf>
    <xf numFmtId="3" fontId="14" fillId="0" borderId="0" xfId="70" applyNumberFormat="1" applyFont="1">
      <alignment/>
      <protection/>
    </xf>
    <xf numFmtId="175" fontId="14" fillId="0" borderId="0" xfId="70" applyNumberFormat="1" applyFont="1">
      <alignment/>
      <protection/>
    </xf>
    <xf numFmtId="9" fontId="14" fillId="0" borderId="0" xfId="74" applyFont="1" applyAlignment="1">
      <alignment/>
    </xf>
    <xf numFmtId="0" fontId="7" fillId="0" borderId="13" xfId="70" applyFont="1" applyBorder="1" applyAlignment="1">
      <alignment horizontal="center" vertical="center" wrapText="1"/>
      <protection/>
    </xf>
    <xf numFmtId="3" fontId="7" fillId="0" borderId="14" xfId="70" applyNumberFormat="1" applyFont="1" applyBorder="1" applyAlignment="1">
      <alignment horizontal="center" vertical="center" wrapText="1"/>
      <protection/>
    </xf>
    <xf numFmtId="175" fontId="7" fillId="0" borderId="14" xfId="70" applyNumberFormat="1" applyFont="1" applyBorder="1" applyAlignment="1">
      <alignment horizontal="center" vertical="center" wrapText="1"/>
      <protection/>
    </xf>
    <xf numFmtId="9" fontId="7" fillId="0" borderId="14" xfId="74" applyFont="1" applyBorder="1" applyAlignment="1">
      <alignment horizontal="center" vertical="center" wrapText="1"/>
    </xf>
    <xf numFmtId="0" fontId="24" fillId="0" borderId="10" xfId="70" applyFont="1" applyBorder="1" applyAlignment="1">
      <alignment horizontal="center" vertical="center" wrapText="1"/>
      <protection/>
    </xf>
    <xf numFmtId="3" fontId="24" fillId="0" borderId="10" xfId="70" applyNumberFormat="1" applyFont="1" applyBorder="1" applyAlignment="1">
      <alignment horizontal="center" vertical="center" wrapText="1"/>
      <protection/>
    </xf>
    <xf numFmtId="175" fontId="24" fillId="0" borderId="10" xfId="70" applyNumberFormat="1" applyFont="1" applyBorder="1" applyAlignment="1">
      <alignment horizontal="center" vertical="center" wrapText="1"/>
      <protection/>
    </xf>
    <xf numFmtId="9" fontId="24" fillId="0" borderId="10" xfId="74" applyFont="1" applyBorder="1" applyAlignment="1">
      <alignment horizontal="center" vertical="center" wrapText="1"/>
    </xf>
    <xf numFmtId="0" fontId="24" fillId="0" borderId="0" xfId="70" applyFont="1">
      <alignment/>
      <protection/>
    </xf>
    <xf numFmtId="0" fontId="7" fillId="0" borderId="15" xfId="70" applyFont="1" applyBorder="1" applyAlignment="1">
      <alignment horizontal="center" vertical="center" wrapText="1"/>
      <protection/>
    </xf>
    <xf numFmtId="3" fontId="7" fillId="0" borderId="15" xfId="70" applyNumberFormat="1" applyFont="1" applyBorder="1" applyAlignment="1">
      <alignment horizontal="right" vertical="center" wrapText="1"/>
      <protection/>
    </xf>
    <xf numFmtId="9" fontId="7" fillId="0" borderId="15" xfId="74" applyFont="1" applyBorder="1" applyAlignment="1">
      <alignment horizontal="right" vertical="center" wrapText="1"/>
    </xf>
    <xf numFmtId="0" fontId="15" fillId="0" borderId="0" xfId="70" applyFont="1">
      <alignment/>
      <protection/>
    </xf>
    <xf numFmtId="0" fontId="7" fillId="0" borderId="12" xfId="70" applyFont="1" applyBorder="1" applyAlignment="1">
      <alignment horizontal="center" vertical="center" wrapText="1"/>
      <protection/>
    </xf>
    <xf numFmtId="0" fontId="7" fillId="0" borderId="12" xfId="70" applyFont="1" applyBorder="1" applyAlignment="1">
      <alignment vertical="center" wrapText="1"/>
      <protection/>
    </xf>
    <xf numFmtId="3" fontId="7" fillId="0" borderId="12" xfId="70" applyNumberFormat="1" applyFont="1" applyBorder="1" applyAlignment="1">
      <alignment horizontal="right" vertical="center" wrapText="1"/>
      <protection/>
    </xf>
    <xf numFmtId="9" fontId="7" fillId="0" borderId="12" xfId="74" applyFont="1" applyBorder="1" applyAlignment="1">
      <alignment horizontal="right" vertical="center" wrapText="1"/>
    </xf>
    <xf numFmtId="9" fontId="15" fillId="0" borderId="0" xfId="74" applyFont="1" applyAlignment="1">
      <alignment/>
    </xf>
    <xf numFmtId="0" fontId="9" fillId="0" borderId="12" xfId="70" applyFont="1" applyBorder="1" applyAlignment="1">
      <alignment horizontal="center" vertical="center" wrapText="1"/>
      <protection/>
    </xf>
    <xf numFmtId="0" fontId="9" fillId="0" borderId="12" xfId="70" applyFont="1" applyBorder="1" applyAlignment="1">
      <alignment vertical="center" wrapText="1"/>
      <protection/>
    </xf>
    <xf numFmtId="3" fontId="9" fillId="0" borderId="12" xfId="70" applyNumberFormat="1" applyFont="1" applyBorder="1" applyAlignment="1">
      <alignment horizontal="right" vertical="center" wrapText="1"/>
      <protection/>
    </xf>
    <xf numFmtId="9" fontId="9" fillId="0" borderId="12" xfId="74" applyFont="1" applyBorder="1" applyAlignment="1">
      <alignment horizontal="right" vertical="center" wrapText="1"/>
    </xf>
    <xf numFmtId="0" fontId="8" fillId="0" borderId="12" xfId="70" applyFont="1" applyBorder="1" applyAlignment="1">
      <alignment horizontal="center" vertical="center" wrapText="1"/>
      <protection/>
    </xf>
    <xf numFmtId="0" fontId="8" fillId="0" borderId="12" xfId="70" applyFont="1" applyBorder="1" applyAlignment="1">
      <alignment vertical="center" wrapText="1"/>
      <protection/>
    </xf>
    <xf numFmtId="3" fontId="8" fillId="0" borderId="12" xfId="70" applyNumberFormat="1" applyFont="1" applyBorder="1" applyAlignment="1">
      <alignment horizontal="right" vertical="center" wrapText="1"/>
      <protection/>
    </xf>
    <xf numFmtId="9" fontId="8" fillId="0" borderId="12" xfId="74" applyFont="1" applyBorder="1" applyAlignment="1">
      <alignment horizontal="right" vertical="center" wrapText="1"/>
    </xf>
    <xf numFmtId="0" fontId="16" fillId="0" borderId="0" xfId="70" applyFont="1">
      <alignment/>
      <protection/>
    </xf>
    <xf numFmtId="0" fontId="7" fillId="32" borderId="12" xfId="70" applyFont="1" applyFill="1" applyBorder="1" applyAlignment="1">
      <alignment horizontal="center" vertical="center" wrapText="1"/>
      <protection/>
    </xf>
    <xf numFmtId="0" fontId="7" fillId="32" borderId="12" xfId="70" applyFont="1" applyFill="1" applyBorder="1" applyAlignment="1">
      <alignment vertical="center" wrapText="1"/>
      <protection/>
    </xf>
    <xf numFmtId="3" fontId="7" fillId="32" borderId="12" xfId="70" applyNumberFormat="1" applyFont="1" applyFill="1" applyBorder="1" applyAlignment="1">
      <alignment horizontal="right" vertical="center" wrapText="1"/>
      <protection/>
    </xf>
    <xf numFmtId="9" fontId="7" fillId="32" borderId="12" xfId="74" applyFont="1" applyFill="1" applyBorder="1" applyAlignment="1">
      <alignment horizontal="right" vertical="center" wrapText="1"/>
    </xf>
    <xf numFmtId="0" fontId="15" fillId="32" borderId="0" xfId="70" applyFont="1" applyFill="1">
      <alignment/>
      <protection/>
    </xf>
    <xf numFmtId="0" fontId="9" fillId="32" borderId="12" xfId="70" applyFont="1" applyFill="1" applyBorder="1" applyAlignment="1">
      <alignment horizontal="center" vertical="center" wrapText="1"/>
      <protection/>
    </xf>
    <xf numFmtId="0" fontId="9" fillId="32" borderId="12" xfId="70" applyFont="1" applyFill="1" applyBorder="1" applyAlignment="1">
      <alignment vertical="center" wrapText="1"/>
      <protection/>
    </xf>
    <xf numFmtId="3" fontId="9" fillId="32" borderId="12" xfId="70" applyNumberFormat="1" applyFont="1" applyFill="1" applyBorder="1" applyAlignment="1">
      <alignment horizontal="right" vertical="center" wrapText="1"/>
      <protection/>
    </xf>
    <xf numFmtId="9" fontId="9" fillId="32" borderId="12" xfId="74" applyFont="1" applyFill="1" applyBorder="1" applyAlignment="1">
      <alignment horizontal="right" vertical="center" wrapText="1"/>
    </xf>
    <xf numFmtId="0" fontId="14" fillId="32" borderId="0" xfId="70" applyFont="1" applyFill="1">
      <alignment/>
      <protection/>
    </xf>
    <xf numFmtId="0" fontId="7" fillId="0" borderId="13" xfId="70" applyFont="1" applyBorder="1" applyAlignment="1">
      <alignment vertical="center" wrapText="1"/>
      <protection/>
    </xf>
    <xf numFmtId="3" fontId="7" fillId="0" borderId="13" xfId="70" applyNumberFormat="1" applyFont="1" applyBorder="1" applyAlignment="1">
      <alignment horizontal="right" vertical="center" wrapText="1"/>
      <protection/>
    </xf>
    <xf numFmtId="9" fontId="7" fillId="0" borderId="13" xfId="74" applyFont="1" applyBorder="1" applyAlignment="1">
      <alignment horizontal="right" vertical="center" wrapText="1"/>
    </xf>
    <xf numFmtId="0" fontId="7" fillId="0" borderId="0" xfId="70" applyFont="1" applyBorder="1" applyAlignment="1">
      <alignment horizontal="center" vertical="center" wrapText="1"/>
      <protection/>
    </xf>
    <xf numFmtId="0" fontId="7" fillId="0" borderId="0" xfId="70" applyFont="1" applyBorder="1" applyAlignment="1">
      <alignment vertical="center" wrapText="1"/>
      <protection/>
    </xf>
    <xf numFmtId="3" fontId="7" fillId="0" borderId="0" xfId="70" applyNumberFormat="1" applyFont="1" applyBorder="1" applyAlignment="1">
      <alignment horizontal="right" vertical="center" wrapText="1"/>
      <protection/>
    </xf>
    <xf numFmtId="175" fontId="7" fillId="0" borderId="0" xfId="70" applyNumberFormat="1" applyFont="1" applyBorder="1" applyAlignment="1">
      <alignment horizontal="right" vertical="center" wrapText="1"/>
      <protection/>
    </xf>
    <xf numFmtId="9" fontId="7" fillId="0" borderId="0" xfId="74" applyFont="1" applyBorder="1" applyAlignment="1">
      <alignment horizontal="right" vertical="center" wrapText="1"/>
    </xf>
    <xf numFmtId="0" fontId="9" fillId="0" borderId="0" xfId="70" applyFont="1" applyAlignment="1">
      <alignment vertical="center"/>
      <protection/>
    </xf>
    <xf numFmtId="0" fontId="9" fillId="0" borderId="0" xfId="0" applyFont="1" applyFill="1" applyBorder="1" applyAlignment="1">
      <alignment/>
    </xf>
    <xf numFmtId="3" fontId="29" fillId="0" borderId="0" xfId="70" applyNumberFormat="1" applyFont="1">
      <alignment/>
      <protection/>
    </xf>
    <xf numFmtId="175" fontId="29" fillId="0" borderId="0" xfId="70" applyNumberFormat="1" applyFont="1">
      <alignment/>
      <protection/>
    </xf>
    <xf numFmtId="0" fontId="29" fillId="0" borderId="0" xfId="70" applyFont="1">
      <alignment/>
      <protection/>
    </xf>
    <xf numFmtId="0" fontId="9" fillId="0" borderId="0" xfId="70" applyFont="1" applyAlignment="1">
      <alignment horizontal="center" vertical="center" wrapText="1"/>
      <protection/>
    </xf>
    <xf numFmtId="3" fontId="9" fillId="0" borderId="0" xfId="70" applyNumberFormat="1" applyFont="1" applyAlignment="1">
      <alignment horizontal="center" vertical="center" wrapText="1"/>
      <protection/>
    </xf>
    <xf numFmtId="175" fontId="9" fillId="0" borderId="0" xfId="70" applyNumberFormat="1" applyFont="1" applyAlignment="1">
      <alignment horizontal="center" vertical="center" wrapText="1"/>
      <protection/>
    </xf>
    <xf numFmtId="9" fontId="9" fillId="0" borderId="0" xfId="74" applyFont="1" applyAlignment="1">
      <alignment horizontal="center" vertical="center" wrapText="1"/>
    </xf>
    <xf numFmtId="4" fontId="2" fillId="0" borderId="11" xfId="0" applyNumberFormat="1" applyFont="1" applyBorder="1" applyAlignment="1">
      <alignment horizontal="right" vertical="center" wrapText="1"/>
    </xf>
    <xf numFmtId="9" fontId="2" fillId="0" borderId="11" xfId="74" applyFont="1" applyBorder="1" applyAlignment="1">
      <alignment horizontal="right" vertical="center" wrapText="1"/>
    </xf>
    <xf numFmtId="3" fontId="9" fillId="32" borderId="12" xfId="0" applyNumberFormat="1" applyFont="1" applyFill="1" applyBorder="1" applyAlignment="1">
      <alignment horizontal="center"/>
    </xf>
    <xf numFmtId="4" fontId="1" fillId="32" borderId="12" xfId="70" applyNumberFormat="1" applyFont="1" applyFill="1" applyBorder="1" applyAlignment="1">
      <alignment horizontal="right" vertical="center" wrapText="1"/>
      <protection/>
    </xf>
    <xf numFmtId="4" fontId="1" fillId="0" borderId="12" xfId="70" applyNumberFormat="1" applyFont="1" applyBorder="1" applyAlignment="1">
      <alignment horizontal="right" vertical="center" wrapText="1"/>
      <protection/>
    </xf>
    <xf numFmtId="0" fontId="9" fillId="32" borderId="12" xfId="0" applyFont="1" applyFill="1" applyBorder="1" applyAlignment="1">
      <alignment horizontal="center" vertical="center"/>
    </xf>
    <xf numFmtId="0" fontId="27" fillId="0" borderId="0" xfId="70" applyAlignment="1">
      <alignment/>
      <protection/>
    </xf>
    <xf numFmtId="0" fontId="27" fillId="0" borderId="0" xfId="70">
      <alignment/>
      <protection/>
    </xf>
    <xf numFmtId="0" fontId="2" fillId="0" borderId="10" xfId="70" applyFont="1" applyBorder="1" applyAlignment="1">
      <alignment horizontal="center" vertical="center" wrapText="1"/>
      <protection/>
    </xf>
    <xf numFmtId="0" fontId="1" fillId="0" borderId="10" xfId="70" applyFont="1" applyBorder="1" applyAlignment="1">
      <alignment horizontal="center" vertical="center" wrapText="1"/>
      <protection/>
    </xf>
    <xf numFmtId="0" fontId="1" fillId="0" borderId="12" xfId="70" applyFont="1" applyBorder="1" applyAlignment="1">
      <alignment vertical="center" wrapText="1"/>
      <protection/>
    </xf>
    <xf numFmtId="0" fontId="1" fillId="32" borderId="12" xfId="70" applyFont="1" applyFill="1" applyBorder="1" applyAlignment="1">
      <alignment vertical="center" wrapText="1"/>
      <protection/>
    </xf>
    <xf numFmtId="0" fontId="27" fillId="32" borderId="0" xfId="70" applyFill="1">
      <alignment/>
      <protection/>
    </xf>
    <xf numFmtId="0" fontId="2" fillId="0" borderId="13" xfId="70" applyFont="1" applyBorder="1" applyAlignment="1">
      <alignment vertical="center" wrapText="1"/>
      <protection/>
    </xf>
    <xf numFmtId="0" fontId="1" fillId="0" borderId="13" xfId="70" applyFont="1" applyBorder="1" applyAlignment="1">
      <alignment vertical="center" wrapText="1"/>
      <protection/>
    </xf>
    <xf numFmtId="0" fontId="2" fillId="0" borderId="16" xfId="70" applyFont="1" applyBorder="1" applyAlignment="1">
      <alignment vertical="center" wrapText="1"/>
      <protection/>
    </xf>
    <xf numFmtId="0" fontId="2" fillId="0" borderId="11" xfId="70" applyFont="1" applyBorder="1" applyAlignment="1">
      <alignment vertical="center" wrapText="1"/>
      <protection/>
    </xf>
    <xf numFmtId="0" fontId="1" fillId="0" borderId="0" xfId="70" applyFont="1" applyAlignment="1">
      <alignment vertical="center"/>
      <protection/>
    </xf>
    <xf numFmtId="0" fontId="3" fillId="0" borderId="0" xfId="70" applyFont="1" applyAlignment="1">
      <alignment horizontal="center" vertical="center" wrapText="1"/>
      <protection/>
    </xf>
    <xf numFmtId="0" fontId="3" fillId="0" borderId="0" xfId="70" applyFont="1" applyAlignment="1">
      <alignment vertical="center"/>
      <protection/>
    </xf>
    <xf numFmtId="4" fontId="1" fillId="32" borderId="13" xfId="0" applyNumberFormat="1" applyFont="1" applyFill="1" applyBorder="1" applyAlignment="1">
      <alignment horizontal="right" vertical="center" wrapText="1"/>
    </xf>
    <xf numFmtId="4" fontId="1" fillId="32" borderId="12" xfId="0" applyNumberFormat="1" applyFont="1" applyFill="1" applyBorder="1" applyAlignment="1">
      <alignment horizontal="center" vertical="center" wrapText="1"/>
    </xf>
    <xf numFmtId="0" fontId="18" fillId="32" borderId="0" xfId="0" applyFont="1" applyFill="1" applyAlignment="1">
      <alignment/>
    </xf>
    <xf numFmtId="3" fontId="18" fillId="32" borderId="0" xfId="0" applyNumberFormat="1" applyFont="1" applyFill="1" applyAlignment="1">
      <alignment/>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3" fontId="7" fillId="32" borderId="12" xfId="0" applyNumberFormat="1" applyFont="1" applyFill="1" applyBorder="1" applyAlignment="1">
      <alignment vertical="center" wrapText="1"/>
    </xf>
    <xf numFmtId="4" fontId="7" fillId="32" borderId="12" xfId="0" applyNumberFormat="1" applyFont="1" applyFill="1" applyBorder="1" applyAlignment="1">
      <alignment vertical="center" wrapText="1"/>
    </xf>
    <xf numFmtId="9" fontId="7" fillId="32" borderId="12" xfId="74" applyFont="1" applyFill="1" applyBorder="1" applyAlignment="1">
      <alignment vertical="center" wrapText="1"/>
    </xf>
    <xf numFmtId="3" fontId="9" fillId="32" borderId="12" xfId="0" applyNumberFormat="1" applyFont="1" applyFill="1" applyBorder="1" applyAlignment="1">
      <alignment vertical="center" wrapText="1"/>
    </xf>
    <xf numFmtId="4" fontId="9" fillId="32" borderId="12" xfId="0" applyNumberFormat="1" applyFont="1" applyFill="1" applyBorder="1" applyAlignment="1">
      <alignment vertical="center" wrapText="1"/>
    </xf>
    <xf numFmtId="9" fontId="9" fillId="32" borderId="12" xfId="74" applyFont="1" applyFill="1" applyBorder="1" applyAlignment="1">
      <alignment vertical="center" wrapText="1"/>
    </xf>
    <xf numFmtId="3" fontId="8" fillId="32" borderId="12" xfId="0" applyNumberFormat="1" applyFont="1" applyFill="1" applyBorder="1" applyAlignment="1">
      <alignment vertical="center" wrapText="1"/>
    </xf>
    <xf numFmtId="3" fontId="9" fillId="32" borderId="12" xfId="0" applyNumberFormat="1" applyFont="1" applyFill="1" applyBorder="1" applyAlignment="1">
      <alignment horizontal="left" vertical="center" wrapText="1"/>
    </xf>
    <xf numFmtId="3" fontId="7" fillId="32" borderId="12" xfId="0" applyNumberFormat="1" applyFont="1" applyFill="1" applyBorder="1" applyAlignment="1">
      <alignment horizontal="left" vertical="center" wrapText="1"/>
    </xf>
    <xf numFmtId="3" fontId="9" fillId="32" borderId="12" xfId="0" applyNumberFormat="1" applyFont="1" applyFill="1" applyBorder="1" applyAlignment="1">
      <alignment horizontal="center"/>
    </xf>
    <xf numFmtId="3" fontId="7" fillId="32" borderId="12" xfId="0" applyNumberFormat="1" applyFont="1" applyFill="1" applyBorder="1" applyAlignment="1">
      <alignment horizontal="center" vertical="center" wrapText="1"/>
    </xf>
    <xf numFmtId="3" fontId="7" fillId="32" borderId="12" xfId="0" applyNumberFormat="1" applyFont="1" applyFill="1" applyBorder="1" applyAlignment="1">
      <alignment vertical="center" wrapText="1"/>
    </xf>
    <xf numFmtId="0" fontId="7" fillId="32" borderId="13" xfId="0" applyFont="1" applyFill="1" applyBorder="1" applyAlignment="1">
      <alignment vertical="center" wrapText="1"/>
    </xf>
    <xf numFmtId="3" fontId="9" fillId="32" borderId="13" xfId="0" applyNumberFormat="1" applyFont="1" applyFill="1" applyBorder="1" applyAlignment="1">
      <alignment vertical="center" wrapText="1"/>
    </xf>
    <xf numFmtId="4" fontId="7" fillId="32" borderId="13" xfId="0" applyNumberFormat="1" applyFont="1" applyFill="1" applyBorder="1" applyAlignment="1">
      <alignment vertical="center" wrapText="1"/>
    </xf>
    <xf numFmtId="3" fontId="7" fillId="32" borderId="13" xfId="0" applyNumberFormat="1" applyFont="1" applyFill="1" applyBorder="1" applyAlignment="1">
      <alignment vertical="center" wrapText="1"/>
    </xf>
    <xf numFmtId="0" fontId="35" fillId="32" borderId="12" xfId="0" applyFont="1" applyFill="1" applyBorder="1" applyAlignment="1">
      <alignment vertical="center"/>
    </xf>
    <xf numFmtId="0" fontId="38" fillId="32" borderId="0" xfId="0" applyFont="1" applyFill="1" applyAlignment="1">
      <alignment vertical="center"/>
    </xf>
    <xf numFmtId="0" fontId="0" fillId="0" borderId="17" xfId="0" applyBorder="1" applyAlignment="1">
      <alignment/>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xf>
    <xf numFmtId="4" fontId="0" fillId="0" borderId="0" xfId="0" applyNumberFormat="1" applyBorder="1" applyAlignment="1">
      <alignment/>
    </xf>
    <xf numFmtId="2" fontId="0" fillId="0" borderId="0" xfId="0" applyNumberFormat="1" applyBorder="1" applyAlignment="1">
      <alignment/>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0" fontId="35" fillId="32" borderId="11" xfId="0" applyFont="1" applyFill="1" applyBorder="1" applyAlignment="1">
      <alignment vertical="center"/>
    </xf>
    <xf numFmtId="0" fontId="36" fillId="0" borderId="13" xfId="0" applyFont="1" applyBorder="1" applyAlignment="1">
      <alignment horizontal="center" vertical="center" wrapText="1"/>
    </xf>
    <xf numFmtId="0" fontId="36" fillId="0" borderId="13" xfId="0" applyFont="1" applyBorder="1" applyAlignment="1">
      <alignment vertical="center" wrapText="1"/>
    </xf>
    <xf numFmtId="0" fontId="7" fillId="32" borderId="10" xfId="0" applyFont="1" applyFill="1" applyBorder="1" applyAlignment="1">
      <alignment horizontal="center" vertical="center" wrapText="1"/>
    </xf>
    <xf numFmtId="3" fontId="2" fillId="32" borderId="11" xfId="0" applyNumberFormat="1" applyFont="1" applyFill="1" applyBorder="1" applyAlignment="1">
      <alignment vertical="center" wrapText="1"/>
    </xf>
    <xf numFmtId="3" fontId="19" fillId="32" borderId="11" xfId="0" applyNumberFormat="1" applyFont="1" applyFill="1" applyBorder="1" applyAlignment="1">
      <alignment vertical="center" wrapText="1"/>
    </xf>
    <xf numFmtId="4" fontId="7" fillId="32" borderId="11" xfId="0" applyNumberFormat="1" applyFont="1" applyFill="1" applyBorder="1" applyAlignment="1">
      <alignment vertical="center" wrapText="1"/>
    </xf>
    <xf numFmtId="9" fontId="2" fillId="32" borderId="11" xfId="0" applyNumberFormat="1" applyFont="1" applyFill="1" applyBorder="1" applyAlignment="1">
      <alignment vertical="center" wrapText="1"/>
    </xf>
    <xf numFmtId="9" fontId="19" fillId="32" borderId="11" xfId="0" applyNumberFormat="1" applyFont="1" applyFill="1" applyBorder="1" applyAlignment="1">
      <alignment vertical="center" wrapText="1"/>
    </xf>
    <xf numFmtId="3" fontId="36" fillId="32" borderId="12" xfId="0" applyNumberFormat="1" applyFont="1" applyFill="1" applyBorder="1" applyAlignment="1">
      <alignment vertical="center" wrapText="1"/>
    </xf>
    <xf numFmtId="3" fontId="37" fillId="32" borderId="12" xfId="0" applyNumberFormat="1" applyFont="1" applyFill="1" applyBorder="1" applyAlignment="1">
      <alignment vertical="center" wrapText="1"/>
    </xf>
    <xf numFmtId="4" fontId="35" fillId="32" borderId="12" xfId="0" applyNumberFormat="1" applyFont="1" applyFill="1" applyBorder="1" applyAlignment="1">
      <alignment vertical="center" wrapText="1"/>
    </xf>
    <xf numFmtId="4" fontId="36" fillId="32" borderId="12" xfId="0" applyNumberFormat="1" applyFont="1" applyFill="1" applyBorder="1" applyAlignment="1">
      <alignment vertical="center" wrapText="1"/>
    </xf>
    <xf numFmtId="4" fontId="37" fillId="32" borderId="12" xfId="0" applyNumberFormat="1" applyFont="1" applyFill="1" applyBorder="1" applyAlignment="1">
      <alignment vertical="center" wrapText="1"/>
    </xf>
    <xf numFmtId="9" fontId="36" fillId="32" borderId="12" xfId="0" applyNumberFormat="1" applyFont="1" applyFill="1" applyBorder="1" applyAlignment="1">
      <alignment vertical="center" wrapText="1"/>
    </xf>
    <xf numFmtId="9" fontId="37" fillId="32" borderId="12" xfId="0" applyNumberFormat="1" applyFont="1" applyFill="1" applyBorder="1" applyAlignment="1">
      <alignment vertical="center" wrapText="1"/>
    </xf>
    <xf numFmtId="0" fontId="1" fillId="0" borderId="12" xfId="0" applyFont="1" applyBorder="1" applyAlignment="1">
      <alignment horizontal="right" vertical="center" wrapText="1"/>
    </xf>
    <xf numFmtId="4" fontId="7" fillId="0" borderId="15" xfId="70" applyNumberFormat="1" applyFont="1" applyBorder="1" applyAlignment="1">
      <alignment horizontal="right" vertical="center" wrapText="1"/>
      <protection/>
    </xf>
    <xf numFmtId="4" fontId="7" fillId="0" borderId="12" xfId="70" applyNumberFormat="1" applyFont="1" applyBorder="1" applyAlignment="1">
      <alignment horizontal="right" vertical="center" wrapText="1"/>
      <protection/>
    </xf>
    <xf numFmtId="4" fontId="9" fillId="0" borderId="12" xfId="70" applyNumberFormat="1" applyFont="1" applyBorder="1" applyAlignment="1">
      <alignment horizontal="right" vertical="center" wrapText="1"/>
      <protection/>
    </xf>
    <xf numFmtId="4" fontId="8" fillId="0" borderId="12" xfId="70" applyNumberFormat="1" applyFont="1" applyBorder="1" applyAlignment="1">
      <alignment horizontal="right" vertical="center" wrapText="1"/>
      <protection/>
    </xf>
    <xf numFmtId="4" fontId="7" fillId="32" borderId="12" xfId="70" applyNumberFormat="1" applyFont="1" applyFill="1" applyBorder="1" applyAlignment="1">
      <alignment horizontal="right" vertical="center" wrapText="1"/>
      <protection/>
    </xf>
    <xf numFmtId="4" fontId="9" fillId="32" borderId="12" xfId="70" applyNumberFormat="1" applyFont="1" applyFill="1" applyBorder="1" applyAlignment="1">
      <alignment horizontal="right" vertical="center" wrapText="1"/>
      <protection/>
    </xf>
    <xf numFmtId="4" fontId="7" fillId="0" borderId="13" xfId="70" applyNumberFormat="1" applyFont="1" applyBorder="1" applyAlignment="1">
      <alignment horizontal="right" vertical="center" wrapText="1"/>
      <protection/>
    </xf>
    <xf numFmtId="4" fontId="1" fillId="0" borderId="13" xfId="70" applyNumberFormat="1" applyFont="1" applyBorder="1" applyAlignment="1">
      <alignment horizontal="right" vertical="center" wrapText="1"/>
      <protection/>
    </xf>
    <xf numFmtId="4" fontId="2" fillId="0" borderId="11" xfId="70" applyNumberFormat="1" applyFont="1" applyBorder="1" applyAlignment="1">
      <alignment horizontal="right" vertical="center" wrapText="1"/>
      <protection/>
    </xf>
    <xf numFmtId="4" fontId="2" fillId="0" borderId="13" xfId="70" applyNumberFormat="1" applyFont="1" applyBorder="1" applyAlignment="1">
      <alignment horizontal="right" vertical="center" wrapText="1"/>
      <protection/>
    </xf>
    <xf numFmtId="4" fontId="2" fillId="0" borderId="11" xfId="70" applyNumberFormat="1" applyFont="1" applyBorder="1" applyAlignment="1">
      <alignment horizontal="right" vertical="center" wrapText="1"/>
      <protection/>
    </xf>
    <xf numFmtId="4" fontId="2" fillId="0" borderId="18" xfId="70" applyNumberFormat="1" applyFont="1" applyBorder="1" applyAlignment="1">
      <alignment horizontal="right" vertical="center" wrapText="1"/>
      <protection/>
    </xf>
    <xf numFmtId="0" fontId="7" fillId="32" borderId="15" xfId="0" applyFont="1" applyFill="1" applyBorder="1" applyAlignment="1">
      <alignment vertical="center" wrapText="1"/>
    </xf>
    <xf numFmtId="3" fontId="7" fillId="32" borderId="15" xfId="0" applyNumberFormat="1" applyFont="1" applyFill="1" applyBorder="1" applyAlignment="1">
      <alignment vertical="center" wrapText="1"/>
    </xf>
    <xf numFmtId="9" fontId="7" fillId="32" borderId="15" xfId="74" applyFont="1" applyFill="1" applyBorder="1" applyAlignment="1">
      <alignment vertical="center" wrapText="1"/>
    </xf>
    <xf numFmtId="4" fontId="22" fillId="0" borderId="10" xfId="0" applyNumberFormat="1" applyFont="1" applyBorder="1" applyAlignment="1">
      <alignment horizontal="right" vertical="center" wrapText="1"/>
    </xf>
    <xf numFmtId="4" fontId="36" fillId="0" borderId="11" xfId="0" applyNumberFormat="1" applyFont="1" applyBorder="1" applyAlignment="1">
      <alignment horizontal="right" vertical="center" wrapText="1"/>
    </xf>
    <xf numFmtId="4" fontId="36" fillId="0" borderId="12" xfId="0" applyNumberFormat="1" applyFont="1" applyBorder="1" applyAlignment="1">
      <alignment horizontal="right" vertical="center" wrapText="1"/>
    </xf>
    <xf numFmtId="4" fontId="7" fillId="32" borderId="15" xfId="0" applyNumberFormat="1" applyFont="1" applyFill="1" applyBorder="1" applyAlignment="1">
      <alignment vertical="center" wrapText="1"/>
    </xf>
    <xf numFmtId="3" fontId="7" fillId="32" borderId="10" xfId="0" applyNumberFormat="1" applyFont="1" applyFill="1" applyBorder="1" applyAlignment="1">
      <alignment horizontal="center" vertical="center" wrapText="1"/>
    </xf>
    <xf numFmtId="4" fontId="50" fillId="32" borderId="12" xfId="0" applyNumberFormat="1" applyFont="1" applyFill="1" applyBorder="1" applyAlignment="1">
      <alignment vertical="center" wrapText="1"/>
    </xf>
    <xf numFmtId="0" fontId="35" fillId="32" borderId="11" xfId="0" applyFont="1" applyFill="1" applyBorder="1" applyAlignment="1">
      <alignment horizontal="center" vertical="center"/>
    </xf>
    <xf numFmtId="0" fontId="35" fillId="32" borderId="12" xfId="0" applyFont="1" applyFill="1" applyBorder="1" applyAlignment="1">
      <alignment horizontal="center" vertical="center"/>
    </xf>
    <xf numFmtId="175" fontId="27" fillId="0" borderId="0" xfId="70" applyNumberFormat="1">
      <alignment/>
      <protection/>
    </xf>
    <xf numFmtId="0" fontId="2" fillId="0" borderId="11" xfId="70" applyFont="1" applyBorder="1" applyAlignment="1">
      <alignment horizontal="center" vertical="center" wrapText="1"/>
      <protection/>
    </xf>
    <xf numFmtId="0" fontId="2" fillId="0" borderId="12" xfId="70" applyFont="1" applyBorder="1" applyAlignment="1">
      <alignment vertical="center" wrapText="1"/>
      <protection/>
    </xf>
    <xf numFmtId="4" fontId="2" fillId="0" borderId="12" xfId="70" applyNumberFormat="1" applyFont="1" applyBorder="1" applyAlignment="1">
      <alignment horizontal="right" vertical="center" wrapText="1"/>
      <protection/>
    </xf>
    <xf numFmtId="4" fontId="18" fillId="32" borderId="0" xfId="0" applyNumberFormat="1" applyFont="1" applyFill="1" applyAlignment="1">
      <alignment/>
    </xf>
    <xf numFmtId="0" fontId="14" fillId="32" borderId="0" xfId="0" applyFont="1" applyFill="1" applyAlignment="1">
      <alignment horizontal="center" vertical="center"/>
    </xf>
    <xf numFmtId="3" fontId="14" fillId="32" borderId="0" xfId="0" applyNumberFormat="1" applyFont="1" applyFill="1" applyAlignment="1">
      <alignment vertical="center"/>
    </xf>
    <xf numFmtId="3" fontId="14" fillId="32" borderId="0" xfId="0" applyNumberFormat="1" applyFont="1" applyFill="1" applyAlignment="1">
      <alignment horizontal="right" vertical="center"/>
    </xf>
    <xf numFmtId="175" fontId="14" fillId="32" borderId="0" xfId="0" applyNumberFormat="1" applyFont="1" applyFill="1" applyAlignment="1">
      <alignment horizontal="right" vertical="center"/>
    </xf>
    <xf numFmtId="9" fontId="15" fillId="32" borderId="0" xfId="0" applyNumberFormat="1" applyFont="1" applyFill="1" applyAlignment="1">
      <alignment horizontal="right" vertical="center"/>
    </xf>
    <xf numFmtId="0" fontId="14" fillId="32" borderId="0" xfId="0" applyFont="1" applyFill="1" applyAlignment="1">
      <alignment vertical="center"/>
    </xf>
    <xf numFmtId="4" fontId="26" fillId="32" borderId="0" xfId="0" applyNumberFormat="1" applyFont="1" applyFill="1" applyAlignment="1">
      <alignment horizontal="center" vertical="center"/>
    </xf>
    <xf numFmtId="3" fontId="24" fillId="32" borderId="0" xfId="0" applyNumberFormat="1" applyFont="1" applyFill="1" applyAlignment="1">
      <alignment horizontal="center" vertical="center" wrapText="1"/>
    </xf>
    <xf numFmtId="0" fontId="24" fillId="32" borderId="0" xfId="0" applyFont="1" applyFill="1" applyAlignment="1">
      <alignment horizontal="center" vertical="center" wrapText="1"/>
    </xf>
    <xf numFmtId="3" fontId="15" fillId="32" borderId="19" xfId="0" applyNumberFormat="1" applyFont="1" applyFill="1" applyBorder="1" applyAlignment="1">
      <alignment horizontal="center" vertical="center" wrapText="1"/>
    </xf>
    <xf numFmtId="3" fontId="15" fillId="32" borderId="11" xfId="0" applyNumberFormat="1" applyFont="1" applyFill="1" applyBorder="1" applyAlignment="1">
      <alignment horizontal="right" vertical="center" wrapText="1"/>
    </xf>
    <xf numFmtId="175" fontId="15" fillId="32" borderId="11" xfId="0" applyNumberFormat="1" applyFont="1" applyFill="1" applyBorder="1" applyAlignment="1">
      <alignment horizontal="right" vertical="center" wrapText="1"/>
    </xf>
    <xf numFmtId="4" fontId="15" fillId="32" borderId="11" xfId="0" applyNumberFormat="1" applyFont="1" applyFill="1" applyBorder="1" applyAlignment="1">
      <alignment horizontal="right" vertical="center" wrapText="1"/>
    </xf>
    <xf numFmtId="9" fontId="15" fillId="32" borderId="11" xfId="74" applyFont="1" applyFill="1" applyBorder="1" applyAlignment="1">
      <alignment horizontal="right" vertical="center" wrapText="1"/>
    </xf>
    <xf numFmtId="0" fontId="14" fillId="32" borderId="0" xfId="0" applyFont="1" applyFill="1" applyAlignment="1">
      <alignment horizontal="center" vertical="center" wrapText="1"/>
    </xf>
    <xf numFmtId="0" fontId="25" fillId="32" borderId="12" xfId="0" applyFont="1" applyFill="1" applyBorder="1" applyAlignment="1">
      <alignment horizontal="center" vertical="center" wrapText="1"/>
    </xf>
    <xf numFmtId="0" fontId="25" fillId="32" borderId="12" xfId="0" applyFont="1" applyFill="1" applyBorder="1" applyAlignment="1">
      <alignment horizontal="left" vertical="center" wrapText="1"/>
    </xf>
    <xf numFmtId="3" fontId="15" fillId="32" borderId="12" xfId="0" applyNumberFormat="1" applyFont="1" applyFill="1" applyBorder="1" applyAlignment="1">
      <alignment horizontal="right" vertical="center" wrapText="1"/>
    </xf>
    <xf numFmtId="175" fontId="15" fillId="32" borderId="12" xfId="0" applyNumberFormat="1" applyFont="1" applyFill="1" applyBorder="1" applyAlignment="1">
      <alignment horizontal="right" vertical="center" wrapText="1"/>
    </xf>
    <xf numFmtId="4" fontId="15" fillId="32" borderId="12" xfId="0" applyNumberFormat="1" applyFont="1" applyFill="1" applyBorder="1" applyAlignment="1">
      <alignment horizontal="right" vertical="center" wrapText="1"/>
    </xf>
    <xf numFmtId="9" fontId="15" fillId="32" borderId="12" xfId="74" applyFont="1" applyFill="1" applyBorder="1" applyAlignment="1">
      <alignment horizontal="right" vertical="center" wrapText="1"/>
    </xf>
    <xf numFmtId="0" fontId="14" fillId="32" borderId="12" xfId="0" applyFont="1" applyFill="1" applyBorder="1" applyAlignment="1">
      <alignment horizontal="center" vertical="center" wrapText="1"/>
    </xf>
    <xf numFmtId="0" fontId="24" fillId="32" borderId="12" xfId="0" applyFont="1" applyFill="1" applyBorder="1" applyAlignment="1">
      <alignment horizontal="left" vertical="center" wrapText="1"/>
    </xf>
    <xf numFmtId="9" fontId="14" fillId="32" borderId="12" xfId="74" applyFont="1" applyFill="1" applyBorder="1" applyAlignment="1">
      <alignment horizontal="right" vertical="center" wrapText="1"/>
    </xf>
    <xf numFmtId="175" fontId="25" fillId="32" borderId="0" xfId="0" applyNumberFormat="1" applyFont="1" applyFill="1" applyAlignment="1">
      <alignment horizontal="center" vertical="center"/>
    </xf>
    <xf numFmtId="4" fontId="14" fillId="32" borderId="12" xfId="0" applyNumberFormat="1" applyFont="1" applyFill="1" applyBorder="1" applyAlignment="1">
      <alignment horizontal="right" vertical="center" wrapText="1"/>
    </xf>
    <xf numFmtId="0" fontId="14" fillId="32" borderId="12" xfId="0" applyFont="1" applyFill="1" applyBorder="1" applyAlignment="1">
      <alignment vertical="center" wrapText="1"/>
    </xf>
    <xf numFmtId="4" fontId="14" fillId="32" borderId="12" xfId="43" applyNumberFormat="1" applyFont="1" applyFill="1" applyBorder="1" applyAlignment="1">
      <alignment horizontal="right" vertical="center"/>
    </xf>
    <xf numFmtId="175" fontId="14" fillId="32" borderId="12" xfId="43" applyNumberFormat="1" applyFont="1" applyFill="1" applyBorder="1" applyAlignment="1">
      <alignment horizontal="right" vertical="center"/>
    </xf>
    <xf numFmtId="4" fontId="14" fillId="32" borderId="0" xfId="0" applyNumberFormat="1" applyFont="1" applyFill="1" applyAlignment="1">
      <alignment vertical="center"/>
    </xf>
    <xf numFmtId="175" fontId="14" fillId="32" borderId="0" xfId="0" applyNumberFormat="1" applyFont="1" applyFill="1" applyAlignment="1">
      <alignment vertical="center"/>
    </xf>
    <xf numFmtId="0" fontId="15" fillId="32" borderId="0" xfId="0" applyFont="1" applyFill="1" applyAlignment="1">
      <alignment horizontal="right" vertical="center"/>
    </xf>
    <xf numFmtId="0" fontId="16" fillId="32" borderId="0" xfId="0" applyFont="1" applyFill="1" applyAlignment="1">
      <alignment horizontal="right" vertical="center"/>
    </xf>
    <xf numFmtId="0" fontId="15" fillId="32" borderId="10" xfId="0" applyFont="1" applyFill="1" applyBorder="1" applyAlignment="1">
      <alignment horizontal="center" vertical="center" wrapText="1"/>
    </xf>
    <xf numFmtId="3" fontId="15" fillId="32" borderId="10" xfId="0" applyNumberFormat="1"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15" fillId="32" borderId="12" xfId="0" applyFont="1" applyFill="1" applyBorder="1" applyAlignment="1">
      <alignment horizontal="center" vertical="center" wrapText="1"/>
    </xf>
    <xf numFmtId="0" fontId="15" fillId="32" borderId="12" xfId="0" applyFont="1" applyFill="1" applyBorder="1" applyAlignment="1">
      <alignment horizontal="left" vertical="center" wrapText="1"/>
    </xf>
    <xf numFmtId="0" fontId="14" fillId="32" borderId="12" xfId="0" applyFont="1" applyFill="1" applyBorder="1" applyAlignment="1">
      <alignment horizontal="left" vertical="center" wrapText="1"/>
    </xf>
    <xf numFmtId="175" fontId="14" fillId="32" borderId="12" xfId="0" applyNumberFormat="1" applyFont="1" applyFill="1" applyBorder="1" applyAlignment="1">
      <alignment horizontal="right" vertical="center" wrapText="1"/>
    </xf>
    <xf numFmtId="191" fontId="14" fillId="32" borderId="12" xfId="43" applyNumberFormat="1" applyFont="1" applyFill="1" applyBorder="1" applyAlignment="1">
      <alignment horizontal="right" vertical="center" wrapText="1"/>
    </xf>
    <xf numFmtId="0" fontId="24" fillId="32" borderId="12" xfId="0" applyFont="1" applyFill="1" applyBorder="1" applyAlignment="1">
      <alignment vertical="center" wrapText="1"/>
    </xf>
    <xf numFmtId="0" fontId="15" fillId="32" borderId="12" xfId="0" applyFont="1" applyFill="1" applyBorder="1" applyAlignment="1">
      <alignment vertical="center" wrapText="1"/>
    </xf>
    <xf numFmtId="0" fontId="14" fillId="32" borderId="13" xfId="0" applyFont="1" applyFill="1" applyBorder="1" applyAlignment="1">
      <alignment vertical="center"/>
    </xf>
    <xf numFmtId="4" fontId="14" fillId="32" borderId="13" xfId="0" applyNumberFormat="1" applyFont="1" applyFill="1" applyBorder="1" applyAlignment="1">
      <alignment horizontal="right" vertical="center"/>
    </xf>
    <xf numFmtId="175" fontId="14" fillId="32" borderId="13" xfId="0" applyNumberFormat="1" applyFont="1" applyFill="1" applyBorder="1" applyAlignment="1">
      <alignment horizontal="right" vertical="center"/>
    </xf>
    <xf numFmtId="0" fontId="3" fillId="32" borderId="0" xfId="0" applyFont="1" applyFill="1" applyAlignment="1">
      <alignment horizontal="center" vertical="center"/>
    </xf>
    <xf numFmtId="175" fontId="25" fillId="32" borderId="19" xfId="0" applyNumberFormat="1" applyFont="1" applyFill="1" applyBorder="1" applyAlignment="1">
      <alignment horizontal="center" vertical="center" wrapText="1"/>
    </xf>
    <xf numFmtId="0" fontId="26" fillId="32" borderId="0" xfId="0" applyFont="1" applyFill="1" applyAlignment="1">
      <alignment horizontal="center" vertical="center"/>
    </xf>
    <xf numFmtId="0" fontId="3" fillId="32" borderId="0" xfId="0" applyFont="1" applyFill="1" applyAlignment="1">
      <alignment horizontal="right" vertical="center"/>
    </xf>
    <xf numFmtId="0" fontId="5" fillId="32" borderId="10"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5" xfId="0" applyFont="1" applyFill="1" applyBorder="1" applyAlignment="1">
      <alignment vertical="center" wrapText="1"/>
    </xf>
    <xf numFmtId="3" fontId="2" fillId="32" borderId="15" xfId="0" applyNumberFormat="1" applyFont="1" applyFill="1" applyBorder="1" applyAlignment="1">
      <alignment horizontal="center" vertical="center" wrapText="1"/>
    </xf>
    <xf numFmtId="4" fontId="2" fillId="32" borderId="15" xfId="0" applyNumberFormat="1" applyFont="1" applyFill="1" applyBorder="1" applyAlignment="1">
      <alignment horizontal="right" vertical="center" wrapText="1"/>
    </xf>
    <xf numFmtId="3" fontId="1" fillId="32" borderId="12" xfId="0" applyNumberFormat="1" applyFont="1" applyFill="1" applyBorder="1" applyAlignment="1">
      <alignment horizontal="right" vertical="center" wrapText="1"/>
    </xf>
    <xf numFmtId="0" fontId="2" fillId="32" borderId="12" xfId="0" applyFont="1" applyFill="1" applyBorder="1" applyAlignment="1">
      <alignment horizontal="center" vertical="center" wrapText="1"/>
    </xf>
    <xf numFmtId="0" fontId="2" fillId="32" borderId="12" xfId="0" applyFont="1" applyFill="1" applyBorder="1" applyAlignment="1">
      <alignment vertical="center" wrapText="1"/>
    </xf>
    <xf numFmtId="3" fontId="2" fillId="32" borderId="12" xfId="0" applyNumberFormat="1" applyFont="1" applyFill="1" applyBorder="1" applyAlignment="1">
      <alignment horizontal="center" vertical="center" wrapText="1"/>
    </xf>
    <xf numFmtId="4" fontId="2" fillId="32" borderId="12" xfId="0" applyNumberFormat="1" applyFont="1" applyFill="1" applyBorder="1" applyAlignment="1">
      <alignment horizontal="right" vertical="center" wrapText="1"/>
    </xf>
    <xf numFmtId="3" fontId="1" fillId="32" borderId="12" xfId="0" applyNumberFormat="1"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2" xfId="0" applyFont="1" applyFill="1" applyBorder="1" applyAlignment="1">
      <alignment vertical="center" wrapText="1"/>
    </xf>
    <xf numFmtId="4" fontId="1" fillId="32" borderId="12" xfId="0" applyNumberFormat="1" applyFont="1" applyFill="1" applyBorder="1" applyAlignment="1">
      <alignment vertical="center" wrapText="1"/>
    </xf>
    <xf numFmtId="4" fontId="9" fillId="32" borderId="12" xfId="0" applyNumberFormat="1" applyFont="1" applyFill="1" applyBorder="1" applyAlignment="1">
      <alignment horizontal="right" vertical="center" wrapText="1"/>
    </xf>
    <xf numFmtId="0" fontId="39" fillId="32" borderId="0" xfId="0" applyFont="1" applyFill="1" applyAlignment="1">
      <alignment/>
    </xf>
    <xf numFmtId="4" fontId="49" fillId="32" borderId="12" xfId="0" applyNumberFormat="1" applyFont="1" applyFill="1" applyBorder="1" applyAlignment="1">
      <alignment horizontal="right" vertical="center" wrapText="1"/>
    </xf>
    <xf numFmtId="3" fontId="7" fillId="32" borderId="12" xfId="0" applyNumberFormat="1" applyFont="1" applyFill="1" applyBorder="1" applyAlignment="1">
      <alignment horizontal="center" vertical="center" wrapText="1"/>
    </xf>
    <xf numFmtId="4" fontId="7" fillId="32" borderId="12" xfId="0" applyNumberFormat="1" applyFont="1" applyFill="1" applyBorder="1" applyAlignment="1">
      <alignment horizontal="right" vertical="center" wrapText="1"/>
    </xf>
    <xf numFmtId="9" fontId="7" fillId="32" borderId="12" xfId="74" applyFont="1" applyFill="1" applyBorder="1" applyAlignment="1">
      <alignment horizontal="center" vertical="center" wrapText="1"/>
    </xf>
    <xf numFmtId="0" fontId="40" fillId="32" borderId="0" xfId="0" applyFont="1" applyFill="1" applyAlignment="1">
      <alignment/>
    </xf>
    <xf numFmtId="9" fontId="9" fillId="32" borderId="12" xfId="74" applyFont="1" applyFill="1" applyBorder="1" applyAlignment="1">
      <alignment horizontal="center" vertical="center" wrapText="1"/>
    </xf>
    <xf numFmtId="0" fontId="2" fillId="32" borderId="13" xfId="0" applyFont="1" applyFill="1" applyBorder="1" applyAlignment="1">
      <alignment horizontal="center" vertical="center" wrapText="1"/>
    </xf>
    <xf numFmtId="4" fontId="2" fillId="32" borderId="13" xfId="0" applyNumberFormat="1" applyFont="1" applyFill="1" applyBorder="1" applyAlignment="1">
      <alignment horizontal="right" vertical="center" wrapText="1"/>
    </xf>
    <xf numFmtId="0" fontId="39" fillId="32" borderId="0" xfId="0" applyFont="1" applyFill="1" applyAlignment="1">
      <alignment/>
    </xf>
    <xf numFmtId="175" fontId="39" fillId="32" borderId="0" xfId="0" applyNumberFormat="1" applyFont="1" applyFill="1" applyAlignment="1">
      <alignment/>
    </xf>
    <xf numFmtId="0" fontId="8" fillId="32" borderId="0" xfId="0" applyFont="1" applyFill="1" applyAlignment="1">
      <alignment horizontal="right" vertical="center"/>
    </xf>
    <xf numFmtId="0" fontId="24" fillId="32" borderId="10" xfId="0" applyFont="1" applyFill="1" applyBorder="1" applyAlignment="1">
      <alignment horizontal="center" vertical="center" wrapText="1"/>
    </xf>
    <xf numFmtId="0" fontId="24" fillId="32" borderId="0" xfId="0" applyFont="1" applyFill="1" applyAlignment="1">
      <alignment/>
    </xf>
    <xf numFmtId="3" fontId="7" fillId="32" borderId="15" xfId="0" applyNumberFormat="1" applyFont="1" applyFill="1" applyBorder="1" applyAlignment="1">
      <alignment horizontal="center" vertical="center" wrapText="1"/>
    </xf>
    <xf numFmtId="4" fontId="7" fillId="32" borderId="15" xfId="0" applyNumberFormat="1" applyFont="1" applyFill="1" applyBorder="1" applyAlignment="1">
      <alignment horizontal="right" vertical="center" wrapText="1"/>
    </xf>
    <xf numFmtId="9" fontId="9" fillId="32" borderId="15" xfId="74" applyFont="1" applyFill="1" applyBorder="1" applyAlignment="1">
      <alignment horizontal="center" vertical="center" wrapText="1"/>
    </xf>
    <xf numFmtId="4" fontId="9" fillId="32" borderId="0" xfId="0" applyNumberFormat="1" applyFont="1" applyFill="1" applyAlignment="1">
      <alignment/>
    </xf>
    <xf numFmtId="4" fontId="7" fillId="32" borderId="12" xfId="0" applyNumberFormat="1" applyFont="1" applyFill="1" applyBorder="1" applyAlignment="1">
      <alignment horizontal="center" vertical="center" wrapText="1"/>
    </xf>
    <xf numFmtId="0" fontId="9" fillId="32" borderId="13" xfId="0" applyFont="1" applyFill="1" applyBorder="1" applyAlignment="1">
      <alignment horizontal="center" vertical="center" wrapText="1"/>
    </xf>
    <xf numFmtId="3" fontId="9" fillId="32" borderId="13" xfId="0" applyNumberFormat="1" applyFont="1" applyFill="1" applyBorder="1" applyAlignment="1">
      <alignment horizontal="center" vertical="center" wrapText="1"/>
    </xf>
    <xf numFmtId="4" fontId="7" fillId="32" borderId="13" xfId="0" applyNumberFormat="1" applyFont="1" applyFill="1" applyBorder="1" applyAlignment="1">
      <alignment horizontal="right" vertical="center" wrapText="1"/>
    </xf>
    <xf numFmtId="9" fontId="9" fillId="32" borderId="13" xfId="74" applyFont="1" applyFill="1" applyBorder="1" applyAlignment="1">
      <alignment horizontal="center" vertical="center" wrapText="1"/>
    </xf>
    <xf numFmtId="0" fontId="9" fillId="32" borderId="0" xfId="0" applyFont="1" applyFill="1" applyAlignment="1">
      <alignment vertical="center"/>
    </xf>
    <xf numFmtId="0" fontId="2" fillId="32" borderId="0" xfId="0" applyFont="1" applyFill="1" applyAlignment="1">
      <alignment horizontal="right" vertical="center"/>
    </xf>
    <xf numFmtId="0" fontId="53" fillId="32" borderId="0" xfId="0" applyFont="1" applyFill="1" applyAlignment="1">
      <alignment/>
    </xf>
    <xf numFmtId="0" fontId="52" fillId="32" borderId="0" xfId="70" applyFont="1" applyFill="1" applyAlignment="1">
      <alignment vertical="center" wrapText="1"/>
      <protection/>
    </xf>
    <xf numFmtId="0" fontId="8" fillId="32" borderId="0" xfId="0" applyFont="1" applyFill="1" applyAlignment="1">
      <alignment horizontal="center" vertical="center" wrapText="1"/>
    </xf>
    <xf numFmtId="0" fontId="33" fillId="32" borderId="0" xfId="0" applyFont="1" applyFill="1" applyAlignment="1">
      <alignment vertical="center"/>
    </xf>
    <xf numFmtId="0" fontId="8" fillId="32" borderId="0" xfId="0" applyFont="1" applyFill="1" applyAlignment="1">
      <alignment vertical="center"/>
    </xf>
    <xf numFmtId="0" fontId="0" fillId="32" borderId="0" xfId="0" applyFill="1" applyAlignment="1">
      <alignment/>
    </xf>
    <xf numFmtId="4" fontId="0" fillId="32" borderId="0" xfId="0" applyNumberFormat="1" applyFill="1" applyAlignment="1">
      <alignment/>
    </xf>
    <xf numFmtId="0" fontId="2" fillId="32" borderId="11" xfId="0" applyFont="1" applyFill="1" applyBorder="1" applyAlignment="1">
      <alignment horizontal="center" vertical="center" wrapText="1"/>
    </xf>
    <xf numFmtId="0" fontId="2" fillId="32" borderId="11" xfId="0" applyFont="1" applyFill="1" applyBorder="1" applyAlignment="1">
      <alignment horizontal="right" vertical="center" wrapText="1"/>
    </xf>
    <xf numFmtId="9" fontId="1" fillId="32" borderId="11" xfId="74" applyFont="1" applyFill="1" applyBorder="1" applyAlignment="1">
      <alignment horizontal="right" vertical="center" wrapText="1"/>
    </xf>
    <xf numFmtId="175" fontId="0" fillId="32" borderId="0" xfId="0" applyNumberFormat="1" applyFill="1" applyAlignment="1">
      <alignment/>
    </xf>
    <xf numFmtId="9" fontId="2" fillId="32" borderId="15" xfId="74" applyFont="1" applyFill="1" applyBorder="1" applyAlignment="1">
      <alignment horizontal="right" vertical="center" wrapText="1"/>
    </xf>
    <xf numFmtId="9" fontId="2" fillId="32" borderId="12" xfId="74" applyFont="1" applyFill="1" applyBorder="1" applyAlignment="1">
      <alignment horizontal="right" vertical="center" wrapText="1"/>
    </xf>
    <xf numFmtId="9" fontId="1" fillId="32" borderId="12" xfId="74" applyFont="1" applyFill="1" applyBorder="1" applyAlignment="1">
      <alignment horizontal="right" vertical="center" wrapText="1"/>
    </xf>
    <xf numFmtId="0" fontId="10" fillId="32" borderId="0" xfId="0" applyFont="1" applyFill="1" applyAlignment="1">
      <alignment/>
    </xf>
    <xf numFmtId="175" fontId="7" fillId="32" borderId="12" xfId="0" applyNumberFormat="1" applyFont="1" applyFill="1" applyBorder="1" applyAlignment="1">
      <alignment horizontal="right" vertical="center" wrapText="1"/>
    </xf>
    <xf numFmtId="0" fontId="1" fillId="32" borderId="17" xfId="0" applyFont="1" applyFill="1" applyBorder="1" applyAlignment="1">
      <alignment horizontal="center" vertical="center" wrapText="1"/>
    </xf>
    <xf numFmtId="4" fontId="1" fillId="32" borderId="17" xfId="0" applyNumberFormat="1" applyFont="1" applyFill="1" applyBorder="1" applyAlignment="1">
      <alignment horizontal="right" vertical="center" wrapText="1"/>
    </xf>
    <xf numFmtId="9" fontId="1" fillId="32" borderId="17" xfId="74" applyFont="1" applyFill="1" applyBorder="1" applyAlignment="1">
      <alignment horizontal="right" vertical="center" wrapText="1"/>
    </xf>
    <xf numFmtId="175" fontId="1" fillId="32" borderId="12" xfId="70" applyNumberFormat="1" applyFont="1" applyFill="1" applyBorder="1" applyAlignment="1">
      <alignment horizontal="right" vertical="center" wrapText="1"/>
      <protection/>
    </xf>
    <xf numFmtId="0" fontId="2" fillId="32" borderId="13" xfId="0" applyFont="1" applyFill="1" applyBorder="1" applyAlignment="1">
      <alignment vertical="center" wrapText="1"/>
    </xf>
    <xf numFmtId="0" fontId="1" fillId="32" borderId="13" xfId="0" applyFont="1" applyFill="1" applyBorder="1" applyAlignment="1">
      <alignment horizontal="right" vertical="center" wrapText="1"/>
    </xf>
    <xf numFmtId="9" fontId="1" fillId="32" borderId="13" xfId="74" applyFont="1" applyFill="1" applyBorder="1" applyAlignment="1">
      <alignment horizontal="right" vertical="center" wrapText="1"/>
    </xf>
    <xf numFmtId="0" fontId="4" fillId="32" borderId="0" xfId="0" applyFont="1" applyFill="1" applyAlignment="1">
      <alignment horizontal="left" vertical="center"/>
    </xf>
    <xf numFmtId="0" fontId="0" fillId="32" borderId="0" xfId="0" applyFont="1" applyFill="1" applyAlignment="1">
      <alignment/>
    </xf>
    <xf numFmtId="0" fontId="0" fillId="32" borderId="0" xfId="0" applyFill="1" applyAlignment="1">
      <alignment horizontal="left"/>
    </xf>
    <xf numFmtId="0" fontId="11" fillId="32" borderId="0" xfId="0" applyFont="1" applyFill="1" applyAlignment="1">
      <alignment/>
    </xf>
    <xf numFmtId="0" fontId="11" fillId="32" borderId="0" xfId="0" applyFont="1" applyFill="1" applyAlignment="1">
      <alignment horizontal="right"/>
    </xf>
    <xf numFmtId="0" fontId="10" fillId="32" borderId="0" xfId="0" applyFont="1" applyFill="1" applyAlignment="1">
      <alignment horizontal="right"/>
    </xf>
    <xf numFmtId="0" fontId="10" fillId="32" borderId="0" xfId="0" applyFont="1" applyFill="1" applyAlignment="1">
      <alignment horizontal="center"/>
    </xf>
    <xf numFmtId="3" fontId="2" fillId="32" borderId="15" xfId="0" applyNumberFormat="1" applyFont="1" applyFill="1" applyBorder="1" applyAlignment="1">
      <alignment vertical="center" wrapText="1"/>
    </xf>
    <xf numFmtId="3" fontId="2" fillId="32" borderId="15" xfId="0" applyNumberFormat="1" applyFont="1" applyFill="1" applyBorder="1" applyAlignment="1">
      <alignment horizontal="right" vertical="center" wrapText="1"/>
    </xf>
    <xf numFmtId="3" fontId="10" fillId="32" borderId="0" xfId="0" applyNumberFormat="1" applyFont="1" applyFill="1" applyAlignment="1">
      <alignment/>
    </xf>
    <xf numFmtId="3" fontId="2" fillId="32" borderId="12" xfId="0" applyNumberFormat="1" applyFont="1" applyFill="1" applyBorder="1" applyAlignment="1">
      <alignment vertical="center" wrapText="1"/>
    </xf>
    <xf numFmtId="3" fontId="2" fillId="32" borderId="12" xfId="0" applyNumberFormat="1" applyFont="1" applyFill="1" applyBorder="1" applyAlignment="1">
      <alignment horizontal="right" vertical="center" wrapText="1"/>
    </xf>
    <xf numFmtId="3" fontId="1" fillId="32" borderId="12" xfId="0" applyNumberFormat="1" applyFont="1" applyFill="1" applyBorder="1" applyAlignment="1">
      <alignment vertical="center" wrapText="1"/>
    </xf>
    <xf numFmtId="3" fontId="1" fillId="32" borderId="12" xfId="0" applyNumberFormat="1" applyFont="1" applyFill="1" applyBorder="1" applyAlignment="1" quotePrefix="1">
      <alignment vertical="center" wrapText="1"/>
    </xf>
    <xf numFmtId="3" fontId="2" fillId="32" borderId="13" xfId="0" applyNumberFormat="1" applyFont="1" applyFill="1" applyBorder="1" applyAlignment="1">
      <alignment horizontal="center" vertical="center" wrapText="1"/>
    </xf>
    <xf numFmtId="3" fontId="2" fillId="32" borderId="13" xfId="0" applyNumberFormat="1" applyFont="1" applyFill="1" applyBorder="1" applyAlignment="1">
      <alignment vertical="center" wrapText="1"/>
    </xf>
    <xf numFmtId="3" fontId="2" fillId="32" borderId="13" xfId="0" applyNumberFormat="1" applyFont="1" applyFill="1" applyBorder="1" applyAlignment="1">
      <alignment horizontal="right" vertical="center" wrapText="1"/>
    </xf>
    <xf numFmtId="9" fontId="2" fillId="32" borderId="13" xfId="74" applyFont="1" applyFill="1" applyBorder="1" applyAlignment="1">
      <alignment horizontal="right" vertical="center" wrapText="1"/>
    </xf>
    <xf numFmtId="0" fontId="1" fillId="32" borderId="0" xfId="0" applyFont="1" applyFill="1" applyAlignment="1">
      <alignment horizontal="left" vertical="center"/>
    </xf>
    <xf numFmtId="0" fontId="7" fillId="32" borderId="0" xfId="0" applyFont="1" applyFill="1" applyAlignment="1">
      <alignment horizontal="right" vertical="center"/>
    </xf>
    <xf numFmtId="3" fontId="7" fillId="32" borderId="12" xfId="0" applyNumberFormat="1" applyFont="1" applyFill="1" applyBorder="1" applyAlignment="1">
      <alignment horizontal="right" vertical="center" wrapText="1"/>
    </xf>
    <xf numFmtId="9" fontId="7" fillId="32" borderId="12" xfId="74" applyFont="1" applyFill="1" applyBorder="1" applyAlignment="1">
      <alignment horizontal="right" vertical="center" wrapText="1"/>
    </xf>
    <xf numFmtId="9" fontId="9" fillId="32" borderId="12" xfId="74" applyFont="1" applyFill="1" applyBorder="1" applyAlignment="1">
      <alignment horizontal="right" vertical="center" wrapText="1"/>
    </xf>
    <xf numFmtId="3" fontId="9" fillId="32" borderId="12" xfId="0" applyNumberFormat="1" applyFont="1" applyFill="1" applyBorder="1" applyAlignment="1">
      <alignment horizontal="right" vertical="center" wrapText="1"/>
    </xf>
    <xf numFmtId="0" fontId="8" fillId="32" borderId="20" xfId="0" applyFont="1" applyFill="1" applyBorder="1" applyAlignment="1">
      <alignment vertical="center" wrapText="1"/>
    </xf>
    <xf numFmtId="3" fontId="9" fillId="32" borderId="21" xfId="0" applyNumberFormat="1" applyFont="1" applyFill="1" applyBorder="1" applyAlignment="1">
      <alignment vertical="center" wrapText="1"/>
    </xf>
    <xf numFmtId="0" fontId="25" fillId="32" borderId="10" xfId="0" applyFont="1" applyFill="1" applyBorder="1" applyAlignment="1">
      <alignment horizontal="center" vertical="center" wrapText="1"/>
    </xf>
    <xf numFmtId="0" fontId="7" fillId="32" borderId="22" xfId="0" applyFont="1" applyFill="1" applyBorder="1" applyAlignment="1">
      <alignment horizontal="center" vertical="center" wrapText="1"/>
    </xf>
    <xf numFmtId="3" fontId="25" fillId="32" borderId="10" xfId="0" applyNumberFormat="1" applyFont="1" applyFill="1" applyBorder="1" applyAlignment="1">
      <alignment horizontal="center" vertical="center" wrapText="1"/>
    </xf>
    <xf numFmtId="0" fontId="25" fillId="32" borderId="14" xfId="0" applyFont="1" applyFill="1" applyBorder="1" applyAlignment="1">
      <alignment horizontal="center" vertical="center" wrapText="1"/>
    </xf>
    <xf numFmtId="0" fontId="25" fillId="32" borderId="14" xfId="0" applyFont="1" applyFill="1" applyBorder="1" applyAlignment="1">
      <alignment vertical="center" wrapText="1"/>
    </xf>
    <xf numFmtId="0" fontId="25" fillId="32" borderId="11" xfId="0" applyFont="1" applyFill="1" applyBorder="1" applyAlignment="1">
      <alignment horizontal="center" vertical="center" wrapText="1"/>
    </xf>
    <xf numFmtId="4" fontId="25" fillId="32" borderId="11" xfId="0" applyNumberFormat="1" applyFont="1" applyFill="1" applyBorder="1" applyAlignment="1">
      <alignment horizontal="right" vertical="center" wrapText="1"/>
    </xf>
    <xf numFmtId="3" fontId="25" fillId="32" borderId="11" xfId="0" applyNumberFormat="1" applyFont="1" applyFill="1" applyBorder="1" applyAlignment="1">
      <alignment horizontal="right" vertical="center" wrapText="1"/>
    </xf>
    <xf numFmtId="175" fontId="25" fillId="32" borderId="11" xfId="0" applyNumberFormat="1" applyFont="1" applyFill="1" applyBorder="1" applyAlignment="1">
      <alignment horizontal="right" vertical="center" wrapText="1"/>
    </xf>
    <xf numFmtId="175" fontId="25" fillId="32" borderId="11" xfId="0" applyNumberFormat="1" applyFont="1" applyFill="1" applyBorder="1" applyAlignment="1">
      <alignment horizontal="center" vertical="center" wrapText="1"/>
    </xf>
    <xf numFmtId="4" fontId="25" fillId="32" borderId="12" xfId="0" applyNumberFormat="1" applyFont="1" applyFill="1" applyBorder="1" applyAlignment="1">
      <alignment horizontal="right" vertical="center" wrapText="1"/>
    </xf>
    <xf numFmtId="3" fontId="25" fillId="32" borderId="12" xfId="0" applyNumberFormat="1" applyFont="1" applyFill="1" applyBorder="1" applyAlignment="1">
      <alignment horizontal="right" vertical="center" wrapText="1"/>
    </xf>
    <xf numFmtId="175" fontId="25" fillId="32" borderId="12" xfId="0" applyNumberFormat="1" applyFont="1" applyFill="1" applyBorder="1" applyAlignment="1">
      <alignment horizontal="right" vertical="center" wrapText="1"/>
    </xf>
    <xf numFmtId="175" fontId="25" fillId="32" borderId="12" xfId="0" applyNumberFormat="1" applyFont="1" applyFill="1" applyBorder="1" applyAlignment="1">
      <alignment horizontal="center" vertical="center" wrapText="1"/>
    </xf>
    <xf numFmtId="4" fontId="24" fillId="32" borderId="12" xfId="0" applyNumberFormat="1" applyFont="1" applyFill="1" applyBorder="1" applyAlignment="1">
      <alignment horizontal="right" vertical="center" wrapText="1"/>
    </xf>
    <xf numFmtId="3" fontId="24" fillId="32" borderId="12" xfId="0" applyNumberFormat="1" applyFont="1" applyFill="1" applyBorder="1" applyAlignment="1">
      <alignment horizontal="right" vertical="center" wrapText="1"/>
    </xf>
    <xf numFmtId="175" fontId="24" fillId="32" borderId="12" xfId="0" applyNumberFormat="1" applyFont="1" applyFill="1" applyBorder="1" applyAlignment="1">
      <alignment horizontal="right" vertical="center" wrapText="1"/>
    </xf>
    <xf numFmtId="175" fontId="24" fillId="32" borderId="12" xfId="0" applyNumberFormat="1" applyFont="1" applyFill="1" applyBorder="1" applyAlignment="1">
      <alignment horizontal="center" vertical="center" wrapText="1"/>
    </xf>
    <xf numFmtId="0" fontId="42" fillId="32" borderId="12" xfId="0" applyFont="1" applyFill="1" applyBorder="1" applyAlignment="1">
      <alignment vertical="center" wrapText="1"/>
    </xf>
    <xf numFmtId="0" fontId="24" fillId="32" borderId="0" xfId="0" applyFont="1" applyFill="1" applyAlignment="1">
      <alignment vertical="center"/>
    </xf>
    <xf numFmtId="3" fontId="24" fillId="32" borderId="0" xfId="0" applyNumberFormat="1" applyFont="1" applyFill="1" applyAlignment="1">
      <alignment vertical="center"/>
    </xf>
    <xf numFmtId="175" fontId="24" fillId="32" borderId="0" xfId="0" applyNumberFormat="1" applyFont="1" applyFill="1" applyAlignment="1">
      <alignment vertical="center"/>
    </xf>
    <xf numFmtId="0" fontId="24" fillId="32" borderId="0" xfId="0" applyFont="1" applyFill="1" applyAlignment="1">
      <alignment horizontal="center" vertical="center"/>
    </xf>
    <xf numFmtId="9" fontId="25" fillId="32" borderId="12" xfId="74" applyFont="1" applyFill="1" applyBorder="1" applyAlignment="1">
      <alignment horizontal="right" vertical="center"/>
    </xf>
    <xf numFmtId="175" fontId="25" fillId="32" borderId="0" xfId="0" applyNumberFormat="1" applyFont="1" applyFill="1" applyAlignment="1">
      <alignment vertical="center"/>
    </xf>
    <xf numFmtId="0" fontId="25" fillId="32" borderId="0" xfId="0" applyFont="1" applyFill="1" applyAlignment="1">
      <alignment vertical="center"/>
    </xf>
    <xf numFmtId="3" fontId="14" fillId="32" borderId="12" xfId="43" applyNumberFormat="1" applyFont="1" applyFill="1" applyBorder="1" applyAlignment="1">
      <alignment horizontal="right" vertical="center"/>
    </xf>
    <xf numFmtId="9" fontId="24" fillId="32" borderId="12" xfId="74" applyFont="1" applyFill="1" applyBorder="1" applyAlignment="1">
      <alignment horizontal="right" vertical="center"/>
    </xf>
    <xf numFmtId="175" fontId="24" fillId="32" borderId="23" xfId="0" applyNumberFormat="1" applyFont="1" applyFill="1" applyBorder="1" applyAlignment="1">
      <alignment vertical="center"/>
    </xf>
    <xf numFmtId="0" fontId="24" fillId="32" borderId="23" xfId="0" applyFont="1" applyFill="1" applyBorder="1" applyAlignment="1">
      <alignment vertical="center"/>
    </xf>
    <xf numFmtId="3" fontId="24" fillId="32" borderId="12" xfId="43" applyNumberFormat="1" applyFont="1" applyFill="1" applyBorder="1" applyAlignment="1">
      <alignment horizontal="right" vertical="center"/>
    </xf>
    <xf numFmtId="4" fontId="24" fillId="32" borderId="12" xfId="43" applyNumberFormat="1" applyFont="1" applyFill="1" applyBorder="1" applyAlignment="1">
      <alignment horizontal="right" vertical="center"/>
    </xf>
    <xf numFmtId="175" fontId="24" fillId="32" borderId="12" xfId="43" applyNumberFormat="1" applyFont="1" applyFill="1" applyBorder="1" applyAlignment="1">
      <alignment horizontal="right" vertical="center"/>
    </xf>
    <xf numFmtId="9" fontId="24" fillId="32" borderId="12" xfId="74" applyFont="1" applyFill="1" applyBorder="1" applyAlignment="1">
      <alignment vertical="center"/>
    </xf>
    <xf numFmtId="0" fontId="24" fillId="32" borderId="24" xfId="0" applyFont="1" applyFill="1" applyBorder="1" applyAlignment="1">
      <alignment vertical="center"/>
    </xf>
    <xf numFmtId="0" fontId="14" fillId="32" borderId="24" xfId="0" applyFont="1" applyFill="1" applyBorder="1" applyAlignment="1">
      <alignment vertical="center"/>
    </xf>
    <xf numFmtId="0" fontId="24" fillId="32" borderId="12" xfId="0" applyFont="1" applyFill="1" applyBorder="1" applyAlignment="1">
      <alignment vertical="center"/>
    </xf>
    <xf numFmtId="0" fontId="42" fillId="32" borderId="12" xfId="0" applyFont="1" applyFill="1" applyBorder="1" applyAlignment="1">
      <alignment vertical="center"/>
    </xf>
    <xf numFmtId="0" fontId="42" fillId="32" borderId="12" xfId="0" applyFont="1" applyFill="1" applyBorder="1" applyAlignment="1">
      <alignment horizontal="left" vertical="center"/>
    </xf>
    <xf numFmtId="3" fontId="14" fillId="32" borderId="12" xfId="0" applyNumberFormat="1" applyFont="1" applyFill="1" applyBorder="1" applyAlignment="1">
      <alignment horizontal="right" vertical="center"/>
    </xf>
    <xf numFmtId="0" fontId="25" fillId="32" borderId="12" xfId="0" applyFont="1" applyFill="1" applyBorder="1" applyAlignment="1">
      <alignment vertical="center" wrapText="1"/>
    </xf>
    <xf numFmtId="175" fontId="25" fillId="32" borderId="12" xfId="43" applyNumberFormat="1" applyFont="1" applyFill="1" applyBorder="1" applyAlignment="1">
      <alignment horizontal="right" vertical="center"/>
    </xf>
    <xf numFmtId="3" fontId="25" fillId="32" borderId="12" xfId="43" applyNumberFormat="1" applyFont="1" applyFill="1" applyBorder="1" applyAlignment="1">
      <alignment horizontal="right" vertical="center"/>
    </xf>
    <xf numFmtId="4" fontId="25" fillId="32" borderId="12" xfId="43" applyNumberFormat="1" applyFont="1" applyFill="1" applyBorder="1" applyAlignment="1">
      <alignment horizontal="right" vertical="center"/>
    </xf>
    <xf numFmtId="9" fontId="25" fillId="32" borderId="12" xfId="74" applyFont="1" applyFill="1" applyBorder="1" applyAlignment="1">
      <alignment vertical="center"/>
    </xf>
    <xf numFmtId="0" fontId="25" fillId="32" borderId="24" xfId="0" applyFont="1" applyFill="1" applyBorder="1" applyAlignment="1">
      <alignment vertical="center"/>
    </xf>
    <xf numFmtId="3" fontId="15" fillId="32" borderId="12" xfId="0" applyNumberFormat="1" applyFont="1" applyFill="1" applyBorder="1" applyAlignment="1">
      <alignment horizontal="right" vertical="center"/>
    </xf>
    <xf numFmtId="0" fontId="24" fillId="32" borderId="13" xfId="0" applyFont="1" applyFill="1" applyBorder="1" applyAlignment="1">
      <alignment vertical="center" wrapText="1"/>
    </xf>
    <xf numFmtId="175" fontId="24" fillId="32" borderId="13" xfId="43" applyNumberFormat="1" applyFont="1" applyFill="1" applyBorder="1" applyAlignment="1">
      <alignment vertical="center"/>
    </xf>
    <xf numFmtId="3" fontId="24" fillId="32" borderId="13" xfId="43" applyNumberFormat="1" applyFont="1" applyFill="1" applyBorder="1" applyAlignment="1">
      <alignment vertical="center"/>
    </xf>
    <xf numFmtId="4" fontId="24" fillId="32" borderId="13" xfId="43" applyNumberFormat="1" applyFont="1" applyFill="1" applyBorder="1" applyAlignment="1">
      <alignment vertical="center"/>
    </xf>
    <xf numFmtId="9" fontId="24" fillId="32" borderId="13" xfId="74" applyFont="1" applyFill="1" applyBorder="1" applyAlignment="1">
      <alignment vertical="center"/>
    </xf>
    <xf numFmtId="0" fontId="24" fillId="32" borderId="25" xfId="0" applyFont="1" applyFill="1" applyBorder="1" applyAlignment="1">
      <alignment vertical="center"/>
    </xf>
    <xf numFmtId="4" fontId="14" fillId="32" borderId="0" xfId="0" applyNumberFormat="1" applyFont="1" applyFill="1" applyAlignment="1">
      <alignment horizontal="right" vertical="center"/>
    </xf>
    <xf numFmtId="4" fontId="14" fillId="32" borderId="12" xfId="0" applyNumberFormat="1" applyFont="1" applyFill="1" applyBorder="1" applyAlignment="1">
      <alignment horizontal="right" vertical="center"/>
    </xf>
    <xf numFmtId="4" fontId="15" fillId="32" borderId="12" xfId="0" applyNumberFormat="1" applyFont="1" applyFill="1" applyBorder="1" applyAlignment="1">
      <alignment horizontal="right" vertical="center"/>
    </xf>
    <xf numFmtId="4" fontId="15" fillId="32" borderId="12" xfId="43" applyNumberFormat="1" applyFont="1" applyFill="1" applyBorder="1" applyAlignment="1">
      <alignment horizontal="right" vertical="center"/>
    </xf>
    <xf numFmtId="0" fontId="14" fillId="32" borderId="12" xfId="0" applyFont="1" applyFill="1" applyBorder="1" applyAlignment="1">
      <alignment horizontal="right" vertical="center"/>
    </xf>
    <xf numFmtId="0" fontId="14" fillId="32" borderId="13" xfId="0" applyFont="1" applyFill="1" applyBorder="1" applyAlignment="1">
      <alignment vertical="center" wrapText="1"/>
    </xf>
    <xf numFmtId="3" fontId="14" fillId="32" borderId="13" xfId="0" applyNumberFormat="1" applyFont="1" applyFill="1" applyBorder="1" applyAlignment="1">
      <alignment horizontal="right" vertical="center"/>
    </xf>
    <xf numFmtId="0" fontId="14" fillId="32" borderId="13" xfId="0" applyFont="1" applyFill="1" applyBorder="1" applyAlignment="1">
      <alignment horizontal="right" vertical="center"/>
    </xf>
    <xf numFmtId="0" fontId="14" fillId="32" borderId="0" xfId="0" applyFont="1" applyFill="1" applyAlignment="1">
      <alignment vertical="center" wrapText="1"/>
    </xf>
    <xf numFmtId="0" fontId="4" fillId="32" borderId="0" xfId="0" applyFont="1" applyFill="1" applyAlignment="1">
      <alignment horizontal="center" vertical="center"/>
    </xf>
    <xf numFmtId="0" fontId="0" fillId="0" borderId="0" xfId="0" applyAlignment="1">
      <alignment horizontal="center"/>
    </xf>
    <xf numFmtId="0" fontId="4" fillId="0" borderId="0" xfId="0" applyFont="1" applyBorder="1" applyAlignment="1">
      <alignment horizontal="center" vertical="center"/>
    </xf>
    <xf numFmtId="0" fontId="0" fillId="0" borderId="0" xfId="0" applyBorder="1" applyAlignment="1">
      <alignment horizontal="center"/>
    </xf>
    <xf numFmtId="0" fontId="8" fillId="0" borderId="0" xfId="70" applyFont="1" applyAlignment="1">
      <alignment horizontal="center" vertical="center"/>
      <protection/>
    </xf>
    <xf numFmtId="0" fontId="3" fillId="32" borderId="0" xfId="0" applyFont="1" applyFill="1" applyAlignment="1">
      <alignment horizontal="center" vertical="center" wrapText="1"/>
    </xf>
    <xf numFmtId="179" fontId="7" fillId="0" borderId="12" xfId="74" applyNumberFormat="1" applyFont="1" applyBorder="1" applyAlignment="1">
      <alignment horizontal="right" vertical="center" wrapText="1"/>
    </xf>
    <xf numFmtId="179" fontId="9" fillId="0" borderId="12" xfId="74" applyNumberFormat="1" applyFont="1" applyBorder="1" applyAlignment="1">
      <alignment horizontal="right" vertical="center" wrapText="1"/>
    </xf>
    <xf numFmtId="179" fontId="8" fillId="0" borderId="12" xfId="74" applyNumberFormat="1" applyFont="1" applyBorder="1" applyAlignment="1">
      <alignment horizontal="right" vertical="center" wrapText="1"/>
    </xf>
    <xf numFmtId="3" fontId="7" fillId="0" borderId="12" xfId="74" applyNumberFormat="1" applyFont="1" applyBorder="1" applyAlignment="1">
      <alignment horizontal="right" vertical="center" wrapText="1"/>
    </xf>
    <xf numFmtId="0" fontId="7" fillId="0" borderId="12" xfId="70" applyFont="1" applyBorder="1" applyAlignment="1">
      <alignment horizontal="center" vertical="center" wrapText="1"/>
      <protection/>
    </xf>
    <xf numFmtId="0" fontId="7" fillId="0" borderId="12" xfId="70" applyFont="1" applyBorder="1" applyAlignment="1">
      <alignment vertical="center" wrapText="1"/>
      <protection/>
    </xf>
    <xf numFmtId="3" fontId="7" fillId="0" borderId="12" xfId="70" applyNumberFormat="1" applyFont="1" applyBorder="1" applyAlignment="1">
      <alignment horizontal="right" vertical="center" wrapText="1"/>
      <protection/>
    </xf>
    <xf numFmtId="3" fontId="7" fillId="0" borderId="12" xfId="74" applyNumberFormat="1" applyFont="1" applyBorder="1" applyAlignment="1">
      <alignment horizontal="right" vertical="center" wrapText="1"/>
    </xf>
    <xf numFmtId="179" fontId="7" fillId="0" borderId="12" xfId="74" applyNumberFormat="1" applyFont="1" applyBorder="1" applyAlignment="1">
      <alignment horizontal="right" vertical="center" wrapText="1"/>
    </xf>
    <xf numFmtId="0" fontId="15" fillId="0" borderId="0" xfId="70" applyFont="1">
      <alignment/>
      <protection/>
    </xf>
    <xf numFmtId="179" fontId="7" fillId="32" borderId="12" xfId="74" applyNumberFormat="1" applyFont="1" applyFill="1" applyBorder="1" applyAlignment="1">
      <alignment horizontal="right" vertical="center" wrapText="1"/>
    </xf>
    <xf numFmtId="3" fontId="7" fillId="32" borderId="12" xfId="74" applyNumberFormat="1" applyFont="1" applyFill="1" applyBorder="1" applyAlignment="1">
      <alignment horizontal="right" vertical="center" wrapText="1"/>
    </xf>
    <xf numFmtId="3" fontId="9" fillId="32" borderId="12" xfId="70" applyNumberFormat="1" applyFont="1" applyFill="1" applyBorder="1" applyAlignment="1">
      <alignment horizontal="right" vertical="center" wrapText="1"/>
      <protection/>
    </xf>
    <xf numFmtId="3" fontId="9" fillId="32" borderId="12" xfId="74" applyNumberFormat="1" applyFont="1" applyFill="1" applyBorder="1" applyAlignment="1">
      <alignment horizontal="right" vertical="center" wrapText="1"/>
    </xf>
    <xf numFmtId="179" fontId="9" fillId="32" borderId="12" xfId="74" applyNumberFormat="1" applyFont="1" applyFill="1" applyBorder="1" applyAlignment="1">
      <alignment horizontal="right" vertical="center" wrapText="1"/>
    </xf>
    <xf numFmtId="3" fontId="7" fillId="0" borderId="13" xfId="74" applyNumberFormat="1" applyFont="1" applyBorder="1" applyAlignment="1">
      <alignment horizontal="right" vertical="center" wrapText="1"/>
    </xf>
    <xf numFmtId="179" fontId="7" fillId="0" borderId="13" xfId="74" applyNumberFormat="1" applyFont="1" applyBorder="1" applyAlignment="1">
      <alignment horizontal="right" vertical="center" wrapText="1"/>
    </xf>
    <xf numFmtId="0" fontId="13" fillId="32" borderId="0" xfId="0" applyFont="1" applyFill="1" applyAlignment="1">
      <alignment/>
    </xf>
    <xf numFmtId="0" fontId="13" fillId="32" borderId="0" xfId="0" applyFont="1" applyFill="1" applyAlignment="1">
      <alignment/>
    </xf>
    <xf numFmtId="175" fontId="13" fillId="32" borderId="0" xfId="0" applyNumberFormat="1" applyFont="1" applyFill="1" applyAlignment="1">
      <alignment/>
    </xf>
    <xf numFmtId="0" fontId="5" fillId="32" borderId="0" xfId="0" applyFont="1" applyFill="1" applyAlignment="1">
      <alignment/>
    </xf>
    <xf numFmtId="175" fontId="2" fillId="32" borderId="15" xfId="0" applyNumberFormat="1" applyFont="1" applyFill="1" applyBorder="1" applyAlignment="1">
      <alignment horizontal="right" vertical="center" wrapText="1"/>
    </xf>
    <xf numFmtId="3" fontId="13" fillId="32" borderId="0" xfId="0" applyNumberFormat="1" applyFont="1" applyFill="1" applyAlignment="1">
      <alignment/>
    </xf>
    <xf numFmtId="175" fontId="2" fillId="0" borderId="12" xfId="0" applyNumberFormat="1" applyFont="1" applyBorder="1" applyAlignment="1">
      <alignment horizontal="right" vertical="center" wrapText="1"/>
    </xf>
    <xf numFmtId="0" fontId="21" fillId="32" borderId="0" xfId="0" applyFont="1" applyFill="1" applyAlignment="1">
      <alignment/>
    </xf>
    <xf numFmtId="175" fontId="2" fillId="32" borderId="12" xfId="0" applyNumberFormat="1" applyFont="1" applyFill="1" applyBorder="1" applyAlignment="1">
      <alignment horizontal="right" vertical="center" wrapText="1"/>
    </xf>
    <xf numFmtId="175" fontId="1" fillId="32" borderId="12" xfId="0" applyNumberFormat="1" applyFont="1" applyFill="1" applyBorder="1" applyAlignment="1">
      <alignment horizontal="right" vertical="center" wrapText="1"/>
    </xf>
    <xf numFmtId="175" fontId="2" fillId="32" borderId="12" xfId="0" applyNumberFormat="1" applyFont="1" applyFill="1" applyBorder="1" applyAlignment="1">
      <alignment horizontal="center" vertical="center" wrapText="1"/>
    </xf>
    <xf numFmtId="175" fontId="9" fillId="32" borderId="12" xfId="0" applyNumberFormat="1" applyFont="1" applyFill="1" applyBorder="1" applyAlignment="1">
      <alignment horizontal="right" vertical="center" wrapText="1"/>
    </xf>
    <xf numFmtId="175" fontId="2" fillId="32" borderId="13" xfId="0" applyNumberFormat="1" applyFont="1" applyFill="1" applyBorder="1" applyAlignment="1">
      <alignment horizontal="right" vertical="center" wrapText="1"/>
    </xf>
    <xf numFmtId="0" fontId="1" fillId="32" borderId="0" xfId="0" applyFont="1" applyFill="1" applyAlignment="1">
      <alignment vertical="center"/>
    </xf>
    <xf numFmtId="0" fontId="38" fillId="32" borderId="0" xfId="0" applyFont="1" applyFill="1" applyAlignment="1">
      <alignment/>
    </xf>
    <xf numFmtId="0" fontId="4" fillId="32" borderId="0" xfId="0" applyFont="1" applyFill="1" applyAlignment="1">
      <alignment vertical="center"/>
    </xf>
    <xf numFmtId="0" fontId="3" fillId="32" borderId="0" xfId="0" applyFont="1" applyFill="1" applyAlignment="1">
      <alignment vertical="center"/>
    </xf>
    <xf numFmtId="0" fontId="14" fillId="32" borderId="0" xfId="65" applyFont="1" applyFill="1" applyAlignment="1">
      <alignment horizontal="center" vertical="center"/>
      <protection/>
    </xf>
    <xf numFmtId="3" fontId="14" fillId="32" borderId="0" xfId="65" applyNumberFormat="1" applyFont="1" applyFill="1" applyAlignment="1">
      <alignment vertical="center"/>
      <protection/>
    </xf>
    <xf numFmtId="175" fontId="14" fillId="32" borderId="0" xfId="65" applyNumberFormat="1" applyFont="1" applyFill="1" applyAlignment="1">
      <alignment horizontal="right" vertical="center"/>
      <protection/>
    </xf>
    <xf numFmtId="0" fontId="14" fillId="32" borderId="0" xfId="65" applyFont="1" applyFill="1" applyAlignment="1">
      <alignment vertical="center"/>
      <protection/>
    </xf>
    <xf numFmtId="0" fontId="26" fillId="32" borderId="0" xfId="65" applyFont="1" applyFill="1" applyAlignment="1">
      <alignment horizontal="center" vertical="center"/>
      <protection/>
    </xf>
    <xf numFmtId="3" fontId="24" fillId="32" borderId="0" xfId="65" applyNumberFormat="1" applyFont="1" applyFill="1" applyAlignment="1">
      <alignment horizontal="center" vertical="center" wrapText="1"/>
      <protection/>
    </xf>
    <xf numFmtId="0" fontId="24" fillId="32" borderId="0" xfId="65" applyFont="1" applyFill="1" applyAlignment="1">
      <alignment horizontal="center" vertical="center" wrapText="1"/>
      <protection/>
    </xf>
    <xf numFmtId="3" fontId="15" fillId="32" borderId="15" xfId="65" applyNumberFormat="1" applyFont="1" applyFill="1" applyBorder="1" applyAlignment="1">
      <alignment horizontal="center" vertical="center" wrapText="1"/>
      <protection/>
    </xf>
    <xf numFmtId="178" fontId="15" fillId="32" borderId="15" xfId="65" applyNumberFormat="1" applyFont="1" applyFill="1" applyBorder="1" applyAlignment="1">
      <alignment horizontal="right" vertical="center" wrapText="1"/>
      <protection/>
    </xf>
    <xf numFmtId="178" fontId="15" fillId="32" borderId="11" xfId="65" applyNumberFormat="1" applyFont="1" applyFill="1" applyBorder="1" applyAlignment="1">
      <alignment horizontal="right" vertical="center" wrapText="1"/>
      <protection/>
    </xf>
    <xf numFmtId="175" fontId="24" fillId="32" borderId="0" xfId="65" applyNumberFormat="1" applyFont="1" applyFill="1" applyAlignment="1">
      <alignment horizontal="center" vertical="center" wrapText="1"/>
      <protection/>
    </xf>
    <xf numFmtId="3" fontId="15" fillId="32" borderId="12" xfId="65" applyNumberFormat="1" applyFont="1" applyFill="1" applyBorder="1" applyAlignment="1">
      <alignment horizontal="center" vertical="center" wrapText="1"/>
      <protection/>
    </xf>
    <xf numFmtId="178" fontId="15" fillId="32" borderId="12" xfId="65" applyNumberFormat="1" applyFont="1" applyFill="1" applyBorder="1" applyAlignment="1">
      <alignment horizontal="right" vertical="center" wrapText="1"/>
      <protection/>
    </xf>
    <xf numFmtId="0" fontId="14" fillId="32" borderId="0" xfId="65" applyFont="1" applyFill="1" applyAlignment="1">
      <alignment horizontal="center" vertical="center" wrapText="1"/>
      <protection/>
    </xf>
    <xf numFmtId="0" fontId="15" fillId="32" borderId="12" xfId="65" applyFont="1" applyFill="1" applyBorder="1" applyAlignment="1">
      <alignment horizontal="center" vertical="center" wrapText="1"/>
      <protection/>
    </xf>
    <xf numFmtId="0" fontId="15" fillId="32" borderId="12" xfId="65" applyFont="1" applyFill="1" applyBorder="1" applyAlignment="1">
      <alignment horizontal="left" vertical="center" wrapText="1"/>
      <protection/>
    </xf>
    <xf numFmtId="0" fontId="14" fillId="32" borderId="12" xfId="65" applyFont="1" applyFill="1" applyBorder="1" applyAlignment="1">
      <alignment horizontal="center" vertical="center" wrapText="1"/>
      <protection/>
    </xf>
    <xf numFmtId="0" fontId="14" fillId="32" borderId="12" xfId="65" applyFont="1" applyFill="1" applyBorder="1" applyAlignment="1">
      <alignment horizontal="left" vertical="center" wrapText="1"/>
      <protection/>
    </xf>
    <xf numFmtId="178" fontId="14" fillId="32" borderId="12" xfId="47" applyNumberFormat="1" applyFont="1" applyFill="1" applyBorder="1" applyAlignment="1">
      <alignment horizontal="right"/>
    </xf>
    <xf numFmtId="0" fontId="14" fillId="32" borderId="0" xfId="65" applyFont="1" applyFill="1">
      <alignment/>
      <protection/>
    </xf>
    <xf numFmtId="0" fontId="14" fillId="32" borderId="12" xfId="65" applyFont="1" applyFill="1" applyBorder="1" applyAlignment="1">
      <alignment wrapText="1"/>
      <protection/>
    </xf>
    <xf numFmtId="0" fontId="51" fillId="32" borderId="0" xfId="65" applyFont="1" applyFill="1">
      <alignment/>
      <protection/>
    </xf>
    <xf numFmtId="3" fontId="14" fillId="32" borderId="0" xfId="65" applyNumberFormat="1" applyFont="1" applyFill="1">
      <alignment/>
      <protection/>
    </xf>
    <xf numFmtId="178" fontId="15" fillId="32" borderId="12" xfId="47" applyNumberFormat="1" applyFont="1" applyFill="1" applyBorder="1" applyAlignment="1">
      <alignment horizontal="right"/>
    </xf>
    <xf numFmtId="178" fontId="14" fillId="32" borderId="12" xfId="65" applyNumberFormat="1" applyFont="1" applyFill="1" applyBorder="1" applyAlignment="1">
      <alignment horizontal="right"/>
      <protection/>
    </xf>
    <xf numFmtId="0" fontId="15" fillId="32" borderId="12" xfId="65" applyFont="1" applyFill="1" applyBorder="1" applyAlignment="1">
      <alignment wrapText="1"/>
      <protection/>
    </xf>
    <xf numFmtId="178" fontId="15" fillId="32" borderId="12" xfId="65" applyNumberFormat="1" applyFont="1" applyFill="1" applyBorder="1" applyAlignment="1">
      <alignment horizontal="right"/>
      <protection/>
    </xf>
    <xf numFmtId="178" fontId="14" fillId="32" borderId="12" xfId="47" applyNumberFormat="1" applyFont="1" applyFill="1" applyBorder="1" applyAlignment="1">
      <alignment horizontal="right" vertical="center" wrapText="1"/>
    </xf>
    <xf numFmtId="0" fontId="14" fillId="32" borderId="0" xfId="65" applyFont="1" applyFill="1" applyAlignment="1">
      <alignment vertical="center" wrapText="1"/>
      <protection/>
    </xf>
    <xf numFmtId="0" fontId="15" fillId="32" borderId="12" xfId="65" applyFont="1" applyFill="1" applyBorder="1" applyAlignment="1">
      <alignment vertical="center" wrapText="1"/>
      <protection/>
    </xf>
    <xf numFmtId="178" fontId="15" fillId="32" borderId="12" xfId="47" applyNumberFormat="1" applyFont="1" applyFill="1" applyBorder="1" applyAlignment="1">
      <alignment horizontal="right" vertical="center" wrapText="1"/>
    </xf>
    <xf numFmtId="0" fontId="7" fillId="32" borderId="0" xfId="65" applyFont="1" applyFill="1" applyAlignment="1">
      <alignment vertical="center" wrapText="1"/>
      <protection/>
    </xf>
    <xf numFmtId="178" fontId="14" fillId="32" borderId="12" xfId="65" applyNumberFormat="1" applyFont="1" applyFill="1" applyBorder="1" applyAlignment="1">
      <alignment horizontal="right" vertical="center" wrapText="1"/>
      <protection/>
    </xf>
    <xf numFmtId="0" fontId="14" fillId="32" borderId="13" xfId="65" applyFont="1" applyFill="1" applyBorder="1">
      <alignment/>
      <protection/>
    </xf>
    <xf numFmtId="0" fontId="14" fillId="32" borderId="13" xfId="65" applyFont="1" applyFill="1" applyBorder="1" applyAlignment="1">
      <alignment wrapText="1"/>
      <protection/>
    </xf>
    <xf numFmtId="178" fontId="14" fillId="32" borderId="13" xfId="65" applyNumberFormat="1" applyFont="1" applyFill="1" applyBorder="1" applyAlignment="1">
      <alignment horizontal="right"/>
      <protection/>
    </xf>
    <xf numFmtId="0" fontId="14" fillId="32" borderId="0" xfId="65" applyFont="1" applyFill="1" applyAlignment="1">
      <alignment wrapText="1"/>
      <protection/>
    </xf>
    <xf numFmtId="0" fontId="11" fillId="0" borderId="0" xfId="65">
      <alignment/>
      <protection/>
    </xf>
    <xf numFmtId="0" fontId="2" fillId="0" borderId="0" xfId="65" applyFont="1" applyAlignment="1">
      <alignment horizontal="right" vertical="center"/>
      <protection/>
    </xf>
    <xf numFmtId="0" fontId="41" fillId="0" borderId="0" xfId="65" applyFont="1" applyAlignment="1">
      <alignment horizontal="center" vertical="center" wrapText="1"/>
      <protection/>
    </xf>
    <xf numFmtId="0" fontId="11" fillId="0" borderId="0" xfId="65" applyFill="1">
      <alignment/>
      <protection/>
    </xf>
    <xf numFmtId="0" fontId="3" fillId="0" borderId="0" xfId="65" applyFont="1" applyFill="1" applyAlignment="1">
      <alignment horizontal="right" vertical="center"/>
      <protection/>
    </xf>
    <xf numFmtId="0" fontId="2" fillId="0" borderId="10" xfId="65"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6" fillId="0" borderId="0" xfId="65" applyFont="1" applyFill="1">
      <alignment/>
      <protection/>
    </xf>
    <xf numFmtId="0" fontId="6" fillId="0" borderId="0" xfId="65" applyFont="1">
      <alignment/>
      <protection/>
    </xf>
    <xf numFmtId="0" fontId="2" fillId="0" borderId="11" xfId="65" applyFont="1" applyFill="1" applyBorder="1" applyAlignment="1">
      <alignment horizontal="center" vertical="center" wrapText="1"/>
      <protection/>
    </xf>
    <xf numFmtId="0" fontId="2" fillId="0" borderId="11" xfId="65" applyFont="1" applyFill="1" applyBorder="1" applyAlignment="1">
      <alignment vertical="center" wrapText="1"/>
      <protection/>
    </xf>
    <xf numFmtId="0" fontId="2" fillId="0" borderId="11" xfId="65" applyFont="1" applyFill="1" applyBorder="1" applyAlignment="1">
      <alignment horizontal="right" vertical="center" wrapText="1"/>
      <protection/>
    </xf>
    <xf numFmtId="179" fontId="1" fillId="0" borderId="11" xfId="76" applyNumberFormat="1" applyFont="1" applyFill="1" applyBorder="1" applyAlignment="1">
      <alignment horizontal="right" vertical="center" wrapText="1"/>
    </xf>
    <xf numFmtId="0" fontId="2" fillId="0" borderId="12" xfId="65" applyFont="1" applyFill="1" applyBorder="1" applyAlignment="1">
      <alignment horizontal="center" vertical="center" wrapText="1"/>
      <protection/>
    </xf>
    <xf numFmtId="0" fontId="2" fillId="0" borderId="12" xfId="65" applyFont="1" applyFill="1" applyBorder="1" applyAlignment="1">
      <alignment vertical="center" wrapText="1"/>
      <protection/>
    </xf>
    <xf numFmtId="4" fontId="2" fillId="0" borderId="12" xfId="65" applyNumberFormat="1" applyFont="1" applyFill="1" applyBorder="1" applyAlignment="1">
      <alignment horizontal="right" vertical="center" wrapText="1"/>
      <protection/>
    </xf>
    <xf numFmtId="4" fontId="2" fillId="0" borderId="12" xfId="0" applyNumberFormat="1" applyFont="1" applyFill="1" applyBorder="1" applyAlignment="1">
      <alignment horizontal="right" vertical="center" wrapText="1"/>
    </xf>
    <xf numFmtId="179" fontId="2" fillId="0" borderId="12" xfId="76" applyNumberFormat="1" applyFont="1" applyFill="1" applyBorder="1" applyAlignment="1">
      <alignment horizontal="right" vertical="center" wrapText="1"/>
    </xf>
    <xf numFmtId="4" fontId="11" fillId="0" borderId="0" xfId="65" applyNumberFormat="1" applyFill="1">
      <alignment/>
      <protection/>
    </xf>
    <xf numFmtId="0" fontId="1" fillId="0" borderId="12" xfId="65" applyFont="1" applyFill="1" applyBorder="1" applyAlignment="1">
      <alignment horizontal="center" vertical="center" wrapText="1"/>
      <protection/>
    </xf>
    <xf numFmtId="0" fontId="1" fillId="0" borderId="12" xfId="65" applyFont="1" applyFill="1" applyBorder="1" applyAlignment="1">
      <alignment vertical="center" wrapText="1"/>
      <protection/>
    </xf>
    <xf numFmtId="4" fontId="1" fillId="0" borderId="12" xfId="65" applyNumberFormat="1" applyFont="1" applyFill="1" applyBorder="1" applyAlignment="1">
      <alignment horizontal="right" vertical="center" wrapText="1"/>
      <protection/>
    </xf>
    <xf numFmtId="4" fontId="1" fillId="0" borderId="12" xfId="0" applyNumberFormat="1" applyFont="1" applyFill="1" applyBorder="1" applyAlignment="1">
      <alignment horizontal="right" vertical="center" wrapText="1"/>
    </xf>
    <xf numFmtId="0" fontId="10" fillId="0" borderId="0" xfId="65" applyFont="1" applyFill="1">
      <alignment/>
      <protection/>
    </xf>
    <xf numFmtId="0" fontId="10" fillId="0" borderId="0" xfId="65" applyFont="1">
      <alignment/>
      <protection/>
    </xf>
    <xf numFmtId="179" fontId="1" fillId="0" borderId="12" xfId="76" applyNumberFormat="1" applyFont="1" applyFill="1" applyBorder="1" applyAlignment="1">
      <alignment horizontal="right" vertical="center" wrapText="1"/>
    </xf>
    <xf numFmtId="201" fontId="11" fillId="0" borderId="0" xfId="65" applyNumberFormat="1" applyFill="1">
      <alignment/>
      <protection/>
    </xf>
    <xf numFmtId="201" fontId="2" fillId="0" borderId="12" xfId="76" applyNumberFormat="1" applyFont="1" applyFill="1" applyBorder="1" applyAlignment="1">
      <alignment horizontal="right" vertical="center" wrapText="1"/>
    </xf>
    <xf numFmtId="179" fontId="11" fillId="0" borderId="0" xfId="65" applyNumberFormat="1" applyFill="1">
      <alignment/>
      <protection/>
    </xf>
    <xf numFmtId="175" fontId="1" fillId="0" borderId="12" xfId="65" applyNumberFormat="1" applyFont="1" applyFill="1" applyBorder="1" applyAlignment="1">
      <alignment horizontal="right" vertical="center" wrapText="1"/>
      <protection/>
    </xf>
    <xf numFmtId="0" fontId="4" fillId="0" borderId="13" xfId="65" applyFont="1" applyBorder="1" applyAlignment="1">
      <alignment horizontal="left" vertical="center"/>
      <protection/>
    </xf>
    <xf numFmtId="0" fontId="11" fillId="0" borderId="13" xfId="65" applyBorder="1">
      <alignment/>
      <protection/>
    </xf>
    <xf numFmtId="0" fontId="11" fillId="0" borderId="0" xfId="65" applyFont="1">
      <alignment/>
      <protection/>
    </xf>
    <xf numFmtId="0" fontId="11" fillId="0" borderId="0" xfId="65" applyAlignment="1">
      <alignment horizontal="left"/>
      <protection/>
    </xf>
    <xf numFmtId="0" fontId="56" fillId="0" borderId="0" xfId="70" applyFont="1" applyAlignment="1">
      <alignment vertical="center"/>
      <protection/>
    </xf>
    <xf numFmtId="0" fontId="32" fillId="0" borderId="0" xfId="70" applyFont="1" applyAlignment="1">
      <alignment vertical="center"/>
      <protection/>
    </xf>
    <xf numFmtId="0" fontId="28" fillId="32" borderId="0" xfId="65" applyFont="1" applyFill="1" applyAlignment="1">
      <alignment vertical="center"/>
      <protection/>
    </xf>
    <xf numFmtId="0" fontId="8" fillId="32" borderId="26" xfId="0" applyFont="1" applyFill="1" applyBorder="1" applyAlignment="1">
      <alignment vertical="center"/>
    </xf>
    <xf numFmtId="0" fontId="2" fillId="0" borderId="0" xfId="0" applyFont="1" applyAlignment="1">
      <alignment vertical="center" wrapText="1"/>
    </xf>
    <xf numFmtId="0" fontId="28" fillId="32" borderId="0" xfId="0" applyFont="1" applyFill="1" applyAlignment="1">
      <alignment/>
    </xf>
    <xf numFmtId="9" fontId="7" fillId="0" borderId="27" xfId="74" applyFont="1" applyBorder="1" applyAlignment="1">
      <alignment horizontal="center" vertical="center" wrapText="1"/>
    </xf>
    <xf numFmtId="9" fontId="7" fillId="0" borderId="28" xfId="74" applyFont="1" applyBorder="1" applyAlignment="1">
      <alignment horizontal="center" vertical="center" wrapText="1"/>
    </xf>
    <xf numFmtId="4" fontId="7" fillId="0" borderId="0" xfId="70" applyNumberFormat="1" applyFont="1" applyAlignment="1">
      <alignment horizontal="center" vertical="center" wrapText="1"/>
      <protection/>
    </xf>
    <xf numFmtId="0" fontId="7" fillId="32" borderId="0" xfId="0" applyFont="1" applyFill="1" applyAlignment="1">
      <alignment horizontal="center" vertical="center"/>
    </xf>
    <xf numFmtId="9" fontId="7" fillId="0" borderId="0" xfId="74" applyFont="1" applyAlignment="1">
      <alignment horizontal="right" vertical="center"/>
    </xf>
    <xf numFmtId="0" fontId="26" fillId="0" borderId="0" xfId="70" applyFont="1" applyAlignment="1">
      <alignment horizontal="center" vertical="center"/>
      <protection/>
    </xf>
    <xf numFmtId="0" fontId="28" fillId="0" borderId="0" xfId="70" applyFont="1" applyAlignment="1">
      <alignment horizontal="center" vertical="center"/>
      <protection/>
    </xf>
    <xf numFmtId="0" fontId="3" fillId="0" borderId="26" xfId="70" applyFont="1" applyBorder="1" applyAlignment="1">
      <alignment horizontal="right" vertical="center"/>
      <protection/>
    </xf>
    <xf numFmtId="0" fontId="7" fillId="0" borderId="11" xfId="70" applyFont="1" applyBorder="1" applyAlignment="1">
      <alignment horizontal="center" vertical="center" wrapText="1"/>
      <protection/>
    </xf>
    <xf numFmtId="0" fontId="7" fillId="0" borderId="13" xfId="70" applyFont="1" applyBorder="1" applyAlignment="1">
      <alignment horizontal="center" vertical="center" wrapText="1"/>
      <protection/>
    </xf>
    <xf numFmtId="175" fontId="7" fillId="0" borderId="11" xfId="70" applyNumberFormat="1" applyFont="1" applyBorder="1" applyAlignment="1">
      <alignment horizontal="center" vertical="center" wrapText="1"/>
      <protection/>
    </xf>
    <xf numFmtId="175" fontId="7" fillId="0" borderId="13" xfId="70" applyNumberFormat="1" applyFont="1" applyBorder="1" applyAlignment="1">
      <alignment horizontal="center" vertical="center" wrapText="1"/>
      <protection/>
    </xf>
    <xf numFmtId="175" fontId="7" fillId="0" borderId="27" xfId="70" applyNumberFormat="1" applyFont="1" applyBorder="1" applyAlignment="1">
      <alignment horizontal="center" vertical="center" wrapText="1"/>
      <protection/>
    </xf>
    <xf numFmtId="175" fontId="7" fillId="0" borderId="28" xfId="70" applyNumberFormat="1" applyFont="1" applyBorder="1" applyAlignment="1">
      <alignment horizontal="center" vertical="center" wrapText="1"/>
      <protection/>
    </xf>
    <xf numFmtId="0" fontId="7" fillId="0" borderId="0" xfId="70" applyFont="1" applyAlignment="1">
      <alignment horizontal="center" vertical="center" wrapText="1"/>
      <protection/>
    </xf>
    <xf numFmtId="9" fontId="7" fillId="0" borderId="10" xfId="74" applyFont="1" applyBorder="1" applyAlignment="1">
      <alignment horizontal="center" vertical="center" wrapText="1"/>
    </xf>
    <xf numFmtId="0" fontId="9" fillId="0" borderId="0" xfId="70" applyFont="1" applyAlignment="1">
      <alignment horizontal="center" vertical="center" wrapText="1"/>
      <protection/>
    </xf>
    <xf numFmtId="4" fontId="9" fillId="0" borderId="0" xfId="70" applyNumberFormat="1" applyFont="1" applyAlignment="1">
      <alignment horizontal="center" vertical="center" wrapText="1"/>
      <protection/>
    </xf>
    <xf numFmtId="0" fontId="9" fillId="0" borderId="0" xfId="70" applyFont="1" applyAlignment="1">
      <alignment horizontal="center" vertical="center"/>
      <protection/>
    </xf>
    <xf numFmtId="0" fontId="8" fillId="0" borderId="0" xfId="70" applyFont="1" applyAlignment="1">
      <alignment horizontal="center" vertical="center" wrapText="1"/>
      <protection/>
    </xf>
    <xf numFmtId="4" fontId="8" fillId="0" borderId="0" xfId="70" applyNumberFormat="1" applyFont="1" applyAlignment="1">
      <alignment horizontal="center" vertical="center" wrapText="1"/>
      <protection/>
    </xf>
    <xf numFmtId="0" fontId="22" fillId="32" borderId="0" xfId="0" applyFont="1" applyFill="1" applyAlignment="1">
      <alignment horizontal="center" vertical="center"/>
    </xf>
    <xf numFmtId="0" fontId="2" fillId="32" borderId="0" xfId="0" applyFont="1" applyFill="1" applyAlignment="1">
      <alignment horizontal="center" vertical="center"/>
    </xf>
    <xf numFmtId="0" fontId="23" fillId="32" borderId="0" xfId="0" applyFont="1" applyFill="1" applyAlignment="1">
      <alignment horizontal="center" vertical="center"/>
    </xf>
    <xf numFmtId="0" fontId="2" fillId="32" borderId="10" xfId="0" applyFont="1" applyFill="1" applyBorder="1" applyAlignment="1">
      <alignment horizontal="center" vertical="center" wrapText="1"/>
    </xf>
    <xf numFmtId="0" fontId="3" fillId="32" borderId="0" xfId="0" applyFont="1" applyFill="1" applyAlignment="1">
      <alignment horizontal="center" vertical="center" wrapText="1"/>
    </xf>
    <xf numFmtId="0" fontId="41" fillId="32" borderId="0" xfId="0" applyFont="1" applyFill="1" applyAlignment="1">
      <alignment horizontal="center" vertical="center" wrapText="1"/>
    </xf>
    <xf numFmtId="0" fontId="41" fillId="0" borderId="0" xfId="70" applyFont="1" applyAlignment="1">
      <alignment horizontal="center" vertical="center" wrapText="1"/>
      <protection/>
    </xf>
    <xf numFmtId="0" fontId="23" fillId="32" borderId="0" xfId="0" applyFont="1" applyFill="1" applyAlignment="1">
      <alignment horizontal="center" vertical="center" wrapText="1"/>
    </xf>
    <xf numFmtId="0" fontId="26" fillId="0" borderId="0" xfId="70" applyFont="1" applyAlignment="1">
      <alignment horizontal="center" vertical="center" wrapText="1"/>
      <protection/>
    </xf>
    <xf numFmtId="175" fontId="25" fillId="32" borderId="19" xfId="65" applyNumberFormat="1" applyFont="1" applyFill="1" applyBorder="1" applyAlignment="1">
      <alignment horizontal="center" vertical="center" wrapText="1"/>
      <protection/>
    </xf>
    <xf numFmtId="175" fontId="25" fillId="32" borderId="14" xfId="65" applyNumberFormat="1" applyFont="1" applyFill="1" applyBorder="1" applyAlignment="1">
      <alignment horizontal="center" vertical="center" wrapText="1"/>
      <protection/>
    </xf>
    <xf numFmtId="9" fontId="15" fillId="32" borderId="0" xfId="65" applyNumberFormat="1" applyFont="1" applyFill="1" applyAlignment="1">
      <alignment horizontal="right" vertical="center"/>
      <protection/>
    </xf>
    <xf numFmtId="0" fontId="26" fillId="32" borderId="0" xfId="65" applyFont="1" applyFill="1" applyAlignment="1">
      <alignment horizontal="center" vertical="center"/>
      <protection/>
    </xf>
    <xf numFmtId="0" fontId="28" fillId="32" borderId="0" xfId="65" applyFont="1" applyFill="1" applyAlignment="1">
      <alignment horizontal="center" vertical="center"/>
      <protection/>
    </xf>
    <xf numFmtId="0" fontId="16" fillId="32" borderId="26" xfId="65" applyFont="1" applyFill="1" applyBorder="1" applyAlignment="1">
      <alignment horizontal="right" vertical="center"/>
      <protection/>
    </xf>
    <xf numFmtId="3" fontId="25" fillId="32" borderId="19" xfId="65" applyNumberFormat="1" applyFont="1" applyFill="1" applyBorder="1" applyAlignment="1">
      <alignment horizontal="center" vertical="center" wrapText="1"/>
      <protection/>
    </xf>
    <xf numFmtId="3" fontId="25" fillId="32" borderId="29" xfId="65" applyNumberFormat="1" applyFont="1" applyFill="1" applyBorder="1" applyAlignment="1">
      <alignment horizontal="center" vertical="center" wrapText="1"/>
      <protection/>
    </xf>
    <xf numFmtId="3" fontId="25" fillId="32" borderId="14" xfId="65" applyNumberFormat="1" applyFont="1" applyFill="1" applyBorder="1" applyAlignment="1">
      <alignment horizontal="center" vertical="center" wrapText="1"/>
      <protection/>
    </xf>
    <xf numFmtId="175" fontId="25" fillId="32" borderId="30" xfId="65" applyNumberFormat="1" applyFont="1" applyFill="1" applyBorder="1" applyAlignment="1">
      <alignment horizontal="center" vertical="center"/>
      <protection/>
    </xf>
    <xf numFmtId="175" fontId="25" fillId="32" borderId="31" xfId="65" applyNumberFormat="1" applyFont="1" applyFill="1" applyBorder="1" applyAlignment="1">
      <alignment horizontal="center" vertical="center"/>
      <protection/>
    </xf>
    <xf numFmtId="175" fontId="25" fillId="32" borderId="22" xfId="65" applyNumberFormat="1" applyFont="1" applyFill="1" applyBorder="1" applyAlignment="1">
      <alignment horizontal="center" vertical="center"/>
      <protection/>
    </xf>
    <xf numFmtId="3" fontId="25" fillId="32" borderId="30" xfId="65" applyNumberFormat="1" applyFont="1" applyFill="1" applyBorder="1" applyAlignment="1">
      <alignment horizontal="center" vertical="center" wrapText="1"/>
      <protection/>
    </xf>
    <xf numFmtId="3" fontId="25" fillId="32" borderId="31" xfId="65" applyNumberFormat="1" applyFont="1" applyFill="1" applyBorder="1" applyAlignment="1">
      <alignment horizontal="center" vertical="center" wrapText="1"/>
      <protection/>
    </xf>
    <xf numFmtId="0" fontId="22" fillId="0" borderId="0" xfId="65" applyFont="1" applyAlignment="1">
      <alignment horizontal="center" vertical="center" wrapText="1"/>
      <protection/>
    </xf>
    <xf numFmtId="0" fontId="41" fillId="0" borderId="0" xfId="65" applyFont="1" applyAlignment="1">
      <alignment horizontal="center" vertical="center" wrapText="1"/>
      <protection/>
    </xf>
    <xf numFmtId="0" fontId="3" fillId="0" borderId="0" xfId="65" applyFont="1" applyAlignment="1">
      <alignment horizontal="left" vertical="center" wrapText="1"/>
      <protection/>
    </xf>
    <xf numFmtId="0" fontId="3" fillId="0" borderId="0" xfId="70" applyFont="1" applyAlignment="1">
      <alignment horizontal="left" vertical="center" wrapText="1"/>
      <protection/>
    </xf>
    <xf numFmtId="0" fontId="26" fillId="0" borderId="0" xfId="70" applyFont="1" applyAlignment="1">
      <alignment horizontal="center" vertical="center" wrapText="1"/>
      <protection/>
    </xf>
    <xf numFmtId="0" fontId="23" fillId="0" borderId="0" xfId="70" applyFont="1" applyAlignment="1">
      <alignment horizontal="center" vertical="center" wrapText="1"/>
      <protection/>
    </xf>
    <xf numFmtId="0" fontId="3" fillId="0" borderId="0" xfId="70" applyFont="1" applyAlignment="1">
      <alignment horizontal="center" vertical="center" wrapText="1"/>
      <protection/>
    </xf>
    <xf numFmtId="0" fontId="2" fillId="0" borderId="0" xfId="70" applyFont="1" applyAlignment="1">
      <alignment horizontal="right" vertical="center"/>
      <protection/>
    </xf>
    <xf numFmtId="0" fontId="23" fillId="32" borderId="0" xfId="0" applyFont="1" applyFill="1" applyAlignment="1">
      <alignment horizontal="left" vertical="center"/>
    </xf>
    <xf numFmtId="0" fontId="32" fillId="0" borderId="0" xfId="70" applyFont="1" applyAlignment="1">
      <alignment horizontal="center" vertical="center" wrapText="1"/>
      <protection/>
    </xf>
    <xf numFmtId="0" fontId="23" fillId="0" borderId="0" xfId="70" applyFont="1" applyAlignment="1">
      <alignment horizontal="center" vertical="center"/>
      <protection/>
    </xf>
    <xf numFmtId="0" fontId="32" fillId="0" borderId="0" xfId="70" applyFont="1" applyAlignment="1">
      <alignment horizontal="center" vertical="center"/>
      <protection/>
    </xf>
    <xf numFmtId="3" fontId="7" fillId="0" borderId="10" xfId="70" applyNumberFormat="1" applyFont="1" applyBorder="1" applyAlignment="1">
      <alignment horizontal="center" vertical="center" wrapText="1"/>
      <protection/>
    </xf>
    <xf numFmtId="0" fontId="28" fillId="0" borderId="0" xfId="70" applyFont="1" applyAlignment="1">
      <alignment horizontal="center" vertical="center" wrapText="1"/>
      <protection/>
    </xf>
    <xf numFmtId="4" fontId="28" fillId="0" borderId="0" xfId="70" applyNumberFormat="1" applyFont="1" applyAlignment="1">
      <alignment horizontal="center" vertical="center" wrapText="1"/>
      <protection/>
    </xf>
    <xf numFmtId="4" fontId="26" fillId="0" borderId="0" xfId="70" applyNumberFormat="1" applyFont="1" applyAlignment="1">
      <alignment horizontal="center" vertical="center" wrapText="1"/>
      <protection/>
    </xf>
    <xf numFmtId="0" fontId="26" fillId="32" borderId="0" xfId="0" applyFont="1" applyFill="1" applyAlignment="1">
      <alignment horizontal="left" vertical="center"/>
    </xf>
    <xf numFmtId="175" fontId="15" fillId="0" borderId="0" xfId="70" applyNumberFormat="1" applyFont="1" applyAlignment="1">
      <alignment horizontal="right"/>
      <protection/>
    </xf>
    <xf numFmtId="0" fontId="3" fillId="0" borderId="26" xfId="70" applyFont="1" applyBorder="1" applyAlignment="1">
      <alignment horizontal="center" vertical="center"/>
      <protection/>
    </xf>
    <xf numFmtId="175" fontId="7" fillId="0" borderId="10" xfId="70" applyNumberFormat="1" applyFont="1" applyBorder="1" applyAlignment="1">
      <alignment horizontal="center" vertical="center" wrapText="1"/>
      <protection/>
    </xf>
    <xf numFmtId="0" fontId="8" fillId="32" borderId="0" xfId="0" applyFont="1" applyFill="1" applyAlignment="1">
      <alignment horizontal="center" vertical="center" wrapText="1"/>
    </xf>
    <xf numFmtId="0" fontId="52" fillId="32" borderId="0" xfId="0" applyFont="1" applyFill="1" applyAlignment="1">
      <alignment horizontal="center" vertical="center" wrapText="1"/>
    </xf>
    <xf numFmtId="0" fontId="52" fillId="32" borderId="0" xfId="70" applyFont="1" applyFill="1" applyAlignment="1">
      <alignment horizontal="center" vertical="center" wrapText="1"/>
      <protection/>
    </xf>
    <xf numFmtId="0" fontId="26" fillId="32" borderId="0" xfId="0" applyFont="1" applyFill="1" applyAlignment="1">
      <alignment horizontal="center" vertical="center" wrapText="1"/>
    </xf>
    <xf numFmtId="0" fontId="26" fillId="32" borderId="0" xfId="70" applyFont="1" applyFill="1" applyAlignment="1">
      <alignment horizontal="center" vertical="center" wrapText="1"/>
      <protection/>
    </xf>
    <xf numFmtId="0" fontId="8" fillId="32" borderId="12" xfId="0" applyFont="1" applyFill="1" applyBorder="1" applyAlignment="1">
      <alignment horizontal="center" vertical="center" wrapText="1"/>
    </xf>
    <xf numFmtId="3" fontId="9" fillId="32" borderId="17" xfId="0" applyNumberFormat="1" applyFont="1" applyFill="1" applyBorder="1" applyAlignment="1">
      <alignment horizontal="center" vertical="center" wrapText="1"/>
    </xf>
    <xf numFmtId="3" fontId="9" fillId="32" borderId="15"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0" fontId="34" fillId="32" borderId="0" xfId="0" applyFont="1" applyFill="1" applyAlignment="1">
      <alignment horizontal="left" vertical="center"/>
    </xf>
    <xf numFmtId="0" fontId="7" fillId="32" borderId="0" xfId="0" applyFont="1" applyFill="1" applyAlignment="1">
      <alignment horizontal="center" vertical="center"/>
    </xf>
    <xf numFmtId="0" fontId="26" fillId="32" borderId="0" xfId="0" applyFont="1" applyFill="1" applyAlignment="1">
      <alignment horizontal="center" vertical="center"/>
    </xf>
    <xf numFmtId="175" fontId="15" fillId="32" borderId="0" xfId="70" applyNumberFormat="1" applyFont="1" applyFill="1" applyAlignment="1">
      <alignment horizontal="right"/>
      <protection/>
    </xf>
    <xf numFmtId="0" fontId="23" fillId="0" borderId="0" xfId="0" applyFont="1" applyAlignment="1">
      <alignment horizontal="center" vertical="center" wrapText="1"/>
    </xf>
    <xf numFmtId="0" fontId="4" fillId="0" borderId="32" xfId="0" applyFont="1" applyBorder="1" applyAlignment="1">
      <alignment horizontal="left" vertical="center" wrapText="1"/>
    </xf>
    <xf numFmtId="0" fontId="2" fillId="0" borderId="10" xfId="0" applyFont="1" applyBorder="1" applyAlignment="1">
      <alignment horizontal="center" vertical="center" wrapText="1"/>
    </xf>
    <xf numFmtId="0" fontId="22" fillId="32" borderId="0" xfId="0" applyFont="1" applyFill="1" applyAlignment="1">
      <alignment horizontal="center" vertical="center" wrapText="1"/>
    </xf>
    <xf numFmtId="0" fontId="3" fillId="32" borderId="0" xfId="0" applyFont="1" applyFill="1" applyAlignment="1">
      <alignment horizontal="left" vertical="center" wrapText="1"/>
    </xf>
    <xf numFmtId="3" fontId="1" fillId="32" borderId="12" xfId="0" applyNumberFormat="1" applyFont="1" applyFill="1" applyBorder="1" applyAlignment="1">
      <alignment horizontal="right" vertical="center" wrapText="1"/>
    </xf>
    <xf numFmtId="0" fontId="1" fillId="32" borderId="0" xfId="0" applyFont="1" applyFill="1" applyAlignment="1">
      <alignment horizontal="left" vertical="center" wrapText="1"/>
    </xf>
    <xf numFmtId="0" fontId="3" fillId="32" borderId="26" xfId="0" applyFont="1" applyFill="1" applyBorder="1" applyAlignment="1">
      <alignment horizontal="right" vertical="center"/>
    </xf>
    <xf numFmtId="0" fontId="33" fillId="32" borderId="0" xfId="0" applyFont="1" applyFill="1" applyBorder="1" applyAlignment="1">
      <alignment horizontal="left" vertical="center" wrapText="1"/>
    </xf>
    <xf numFmtId="0" fontId="7" fillId="32" borderId="11"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Alignment="1">
      <alignment horizontal="right" vertical="center"/>
    </xf>
    <xf numFmtId="0" fontId="3" fillId="32" borderId="26" xfId="0" applyFont="1" applyFill="1" applyBorder="1" applyAlignment="1">
      <alignment horizontal="right"/>
    </xf>
    <xf numFmtId="3" fontId="14" fillId="32" borderId="10" xfId="0" applyNumberFormat="1" applyFont="1" applyFill="1" applyBorder="1" applyAlignment="1">
      <alignment horizontal="center"/>
    </xf>
    <xf numFmtId="0" fontId="14" fillId="32" borderId="10" xfId="0" applyFont="1" applyFill="1" applyBorder="1" applyAlignment="1">
      <alignment horizontal="center"/>
    </xf>
    <xf numFmtId="0" fontId="8" fillId="32" borderId="26" xfId="0" applyFont="1" applyFill="1" applyBorder="1" applyAlignment="1">
      <alignment horizontal="center" vertical="center"/>
    </xf>
    <xf numFmtId="0" fontId="7" fillId="32" borderId="0" xfId="0" applyFont="1" applyFill="1" applyAlignment="1">
      <alignment horizontal="right" vertical="center"/>
    </xf>
    <xf numFmtId="0" fontId="34" fillId="32" borderId="0" xfId="0" applyFont="1" applyFill="1" applyAlignment="1">
      <alignment horizontal="center" vertical="center" wrapText="1"/>
    </xf>
    <xf numFmtId="3" fontId="25" fillId="32" borderId="10" xfId="0" applyNumberFormat="1" applyFont="1" applyFill="1" applyBorder="1" applyAlignment="1">
      <alignment horizontal="center" vertical="center" wrapText="1"/>
    </xf>
    <xf numFmtId="0" fontId="25" fillId="32" borderId="10" xfId="0" applyFont="1" applyFill="1" applyBorder="1" applyAlignment="1">
      <alignment horizontal="center" vertical="center" wrapText="1"/>
    </xf>
    <xf numFmtId="0" fontId="25" fillId="32" borderId="19" xfId="0" applyFont="1" applyFill="1" applyBorder="1" applyAlignment="1">
      <alignment horizontal="center" vertical="center" wrapText="1"/>
    </xf>
    <xf numFmtId="0" fontId="25" fillId="32" borderId="14" xfId="0" applyFont="1" applyFill="1" applyBorder="1" applyAlignment="1">
      <alignment horizontal="center" vertical="center" wrapText="1"/>
    </xf>
    <xf numFmtId="3" fontId="25" fillId="32" borderId="19" xfId="0" applyNumberFormat="1" applyFont="1" applyFill="1" applyBorder="1" applyAlignment="1">
      <alignment horizontal="center" vertical="center" wrapText="1"/>
    </xf>
    <xf numFmtId="3" fontId="25" fillId="32" borderId="14" xfId="0" applyNumberFormat="1" applyFont="1" applyFill="1" applyBorder="1" applyAlignment="1">
      <alignment horizontal="center" vertical="center" wrapText="1"/>
    </xf>
    <xf numFmtId="0" fontId="7" fillId="32" borderId="0" xfId="0" applyFont="1" applyFill="1" applyAlignment="1">
      <alignment horizontal="center" vertical="center" wrapText="1"/>
    </xf>
    <xf numFmtId="0" fontId="7" fillId="32" borderId="30" xfId="0" applyFont="1" applyFill="1" applyBorder="1" applyAlignment="1">
      <alignment horizontal="center" vertical="center" wrapText="1"/>
    </xf>
    <xf numFmtId="0" fontId="7" fillId="32" borderId="31" xfId="0" applyFont="1" applyFill="1" applyBorder="1" applyAlignment="1">
      <alignment horizontal="center" vertical="center" wrapText="1"/>
    </xf>
    <xf numFmtId="0" fontId="7" fillId="32" borderId="22" xfId="0" applyFont="1" applyFill="1" applyBorder="1" applyAlignment="1">
      <alignment horizontal="center" vertical="center" wrapText="1"/>
    </xf>
    <xf numFmtId="0" fontId="25" fillId="32" borderId="30" xfId="0" applyFont="1" applyFill="1" applyBorder="1" applyAlignment="1">
      <alignment horizontal="center" vertical="center" wrapText="1"/>
    </xf>
    <xf numFmtId="0" fontId="25" fillId="32" borderId="31" xfId="0" applyFont="1" applyFill="1" applyBorder="1" applyAlignment="1">
      <alignment horizontal="center" vertical="center" wrapText="1"/>
    </xf>
    <xf numFmtId="0" fontId="25" fillId="32" borderId="22" xfId="0" applyFont="1" applyFill="1" applyBorder="1" applyAlignment="1">
      <alignment horizontal="center" vertical="center" wrapText="1"/>
    </xf>
    <xf numFmtId="9" fontId="25" fillId="32" borderId="19" xfId="0" applyNumberFormat="1" applyFont="1" applyFill="1" applyBorder="1" applyAlignment="1">
      <alignment horizontal="center" vertical="center" wrapText="1"/>
    </xf>
    <xf numFmtId="9" fontId="25" fillId="32" borderId="29" xfId="0" applyNumberFormat="1" applyFont="1" applyFill="1" applyBorder="1" applyAlignment="1">
      <alignment horizontal="center" vertical="center" wrapText="1"/>
    </xf>
    <xf numFmtId="175" fontId="25" fillId="32" borderId="14" xfId="0" applyNumberFormat="1" applyFont="1" applyFill="1" applyBorder="1" applyAlignment="1">
      <alignment horizontal="center" vertical="center" wrapText="1"/>
    </xf>
    <xf numFmtId="175" fontId="25" fillId="32" borderId="19" xfId="0" applyNumberFormat="1" applyFont="1" applyFill="1" applyBorder="1" applyAlignment="1">
      <alignment horizontal="center" vertical="center" wrapText="1"/>
    </xf>
    <xf numFmtId="175" fontId="25" fillId="32" borderId="29" xfId="0" applyNumberFormat="1" applyFont="1" applyFill="1" applyBorder="1" applyAlignment="1">
      <alignment horizontal="center" vertical="center" wrapText="1"/>
    </xf>
    <xf numFmtId="3" fontId="25" fillId="32" borderId="31" xfId="0" applyNumberFormat="1" applyFont="1" applyFill="1" applyBorder="1" applyAlignment="1">
      <alignment horizontal="center" vertical="center" wrapText="1"/>
    </xf>
    <xf numFmtId="3" fontId="25" fillId="32" borderId="22" xfId="0" applyNumberFormat="1" applyFont="1" applyFill="1" applyBorder="1" applyAlignment="1">
      <alignment horizontal="center" vertical="center" wrapText="1"/>
    </xf>
    <xf numFmtId="0" fontId="8" fillId="32" borderId="26" xfId="0" applyFont="1" applyFill="1" applyBorder="1" applyAlignment="1">
      <alignment horizontal="right" vertical="center"/>
    </xf>
    <xf numFmtId="175" fontId="25" fillId="32" borderId="28" xfId="0" applyNumberFormat="1" applyFont="1" applyFill="1" applyBorder="1" applyAlignment="1">
      <alignment horizontal="center" vertical="center" wrapText="1"/>
    </xf>
    <xf numFmtId="175" fontId="25" fillId="32" borderId="31" xfId="0" applyNumberFormat="1" applyFont="1" applyFill="1" applyBorder="1" applyAlignment="1">
      <alignment horizontal="center" vertical="center"/>
    </xf>
    <xf numFmtId="3" fontId="25" fillId="32" borderId="29" xfId="0" applyNumberFormat="1" applyFont="1" applyFill="1" applyBorder="1" applyAlignment="1">
      <alignment horizontal="center" vertical="center" wrapText="1"/>
    </xf>
    <xf numFmtId="4" fontId="25" fillId="32" borderId="19" xfId="0" applyNumberFormat="1" applyFont="1" applyFill="1" applyBorder="1" applyAlignment="1">
      <alignment horizontal="center" vertical="center" wrapText="1"/>
    </xf>
    <xf numFmtId="4" fontId="25" fillId="32" borderId="29" xfId="0" applyNumberFormat="1" applyFont="1" applyFill="1" applyBorder="1" applyAlignment="1">
      <alignment horizontal="center" vertical="center" wrapText="1"/>
    </xf>
    <xf numFmtId="0" fontId="48" fillId="32" borderId="0" xfId="0" applyFont="1" applyFill="1" applyAlignment="1">
      <alignment horizontal="center" vertical="center" wrapText="1"/>
    </xf>
    <xf numFmtId="0" fontId="15" fillId="32" borderId="10" xfId="0" applyFont="1" applyFill="1" applyBorder="1" applyAlignment="1">
      <alignment horizontal="center" vertical="center" wrapText="1"/>
    </xf>
    <xf numFmtId="0" fontId="15" fillId="32" borderId="30" xfId="0" applyFont="1" applyFill="1" applyBorder="1" applyAlignment="1">
      <alignment horizontal="center" vertical="center" wrapText="1"/>
    </xf>
    <xf numFmtId="0" fontId="15" fillId="32" borderId="31" xfId="0" applyFont="1" applyFill="1" applyBorder="1" applyAlignment="1">
      <alignment horizontal="center" vertical="center" wrapText="1"/>
    </xf>
    <xf numFmtId="0" fontId="15" fillId="32" borderId="22" xfId="0" applyFont="1" applyFill="1" applyBorder="1" applyAlignment="1">
      <alignment horizontal="center" vertical="center" wrapText="1"/>
    </xf>
    <xf numFmtId="175" fontId="15" fillId="32" borderId="10" xfId="0" applyNumberFormat="1" applyFont="1" applyFill="1" applyBorder="1" applyAlignment="1">
      <alignment horizontal="center" vertical="center" wrapText="1"/>
    </xf>
    <xf numFmtId="9" fontId="3" fillId="32" borderId="26" xfId="0" applyNumberFormat="1" applyFont="1" applyFill="1" applyBorder="1" applyAlignment="1">
      <alignment horizontal="center" vertical="center"/>
    </xf>
    <xf numFmtId="9" fontId="2" fillId="32" borderId="0" xfId="0" applyNumberFormat="1" applyFont="1" applyFill="1" applyAlignment="1">
      <alignment horizontal="right" vertical="center"/>
    </xf>
    <xf numFmtId="9" fontId="2" fillId="32" borderId="10" xfId="0" applyNumberFormat="1" applyFont="1" applyFill="1" applyBorder="1" applyAlignment="1">
      <alignment horizontal="center" vertical="center" wrapText="1"/>
    </xf>
    <xf numFmtId="9" fontId="2" fillId="32" borderId="19" xfId="0" applyNumberFormat="1" applyFont="1" applyFill="1" applyBorder="1" applyAlignment="1">
      <alignment horizontal="center" vertical="center" wrapText="1"/>
    </xf>
    <xf numFmtId="9" fontId="2" fillId="32" borderId="29" xfId="0" applyNumberFormat="1" applyFont="1" applyFill="1" applyBorder="1" applyAlignment="1">
      <alignment horizontal="center" vertical="center" wrapText="1"/>
    </xf>
    <xf numFmtId="9" fontId="2" fillId="32" borderId="14" xfId="0" applyNumberFormat="1" applyFont="1" applyFill="1" applyBorder="1" applyAlignment="1">
      <alignment horizontal="center" vertical="center" wrapText="1"/>
    </xf>
    <xf numFmtId="9" fontId="19" fillId="32" borderId="27" xfId="0" applyNumberFormat="1" applyFont="1" applyFill="1" applyBorder="1" applyAlignment="1">
      <alignment horizontal="center" vertical="center" wrapText="1"/>
    </xf>
    <xf numFmtId="9" fontId="19" fillId="32" borderId="33" xfId="0" applyNumberFormat="1" applyFont="1" applyFill="1" applyBorder="1" applyAlignment="1">
      <alignment horizontal="center" vertical="center" wrapText="1"/>
    </xf>
    <xf numFmtId="9" fontId="19" fillId="32" borderId="34" xfId="0" applyNumberFormat="1" applyFont="1" applyFill="1" applyBorder="1" applyAlignment="1">
      <alignment horizontal="center" vertical="center" wrapText="1"/>
    </xf>
    <xf numFmtId="9" fontId="19" fillId="32" borderId="35" xfId="0" applyNumberFormat="1" applyFont="1" applyFill="1" applyBorder="1" applyAlignment="1">
      <alignment horizontal="center" vertical="center" wrapText="1"/>
    </xf>
    <xf numFmtId="0" fontId="43" fillId="32" borderId="0" xfId="0" applyFont="1" applyFill="1" applyAlignment="1">
      <alignment horizontal="center" vertical="center" wrapText="1"/>
    </xf>
    <xf numFmtId="3" fontId="2" fillId="32" borderId="10" xfId="0" applyNumberFormat="1" applyFont="1" applyFill="1" applyBorder="1" applyAlignment="1">
      <alignment horizontal="center" vertical="center" wrapText="1"/>
    </xf>
    <xf numFmtId="175" fontId="2" fillId="32" borderId="10" xfId="0" applyNumberFormat="1" applyFont="1" applyFill="1" applyBorder="1" applyAlignment="1">
      <alignment horizontal="center" vertical="center" wrapText="1"/>
    </xf>
    <xf numFmtId="175" fontId="19" fillId="32" borderId="10" xfId="0" applyNumberFormat="1" applyFont="1" applyFill="1" applyBorder="1" applyAlignment="1">
      <alignment horizontal="center" vertical="center" wrapText="1"/>
    </xf>
    <xf numFmtId="3" fontId="2" fillId="32" borderId="19" xfId="0" applyNumberFormat="1" applyFont="1" applyFill="1" applyBorder="1" applyAlignment="1">
      <alignment horizontal="center" vertical="center" wrapText="1"/>
    </xf>
    <xf numFmtId="3" fontId="2" fillId="32" borderId="29" xfId="0" applyNumberFormat="1" applyFont="1" applyFill="1" applyBorder="1" applyAlignment="1">
      <alignment horizontal="center" vertical="center" wrapText="1"/>
    </xf>
    <xf numFmtId="3" fontId="2" fillId="32" borderId="14" xfId="0" applyNumberFormat="1" applyFont="1" applyFill="1" applyBorder="1" applyAlignment="1">
      <alignment horizontal="center" vertical="center" wrapText="1"/>
    </xf>
    <xf numFmtId="175" fontId="2" fillId="32" borderId="19" xfId="0" applyNumberFormat="1" applyFont="1" applyFill="1" applyBorder="1" applyAlignment="1">
      <alignment horizontal="center" vertical="center" wrapText="1"/>
    </xf>
    <xf numFmtId="175" fontId="2" fillId="32" borderId="29" xfId="0" applyNumberFormat="1" applyFont="1" applyFill="1" applyBorder="1" applyAlignment="1">
      <alignment horizontal="center" vertical="center" wrapText="1"/>
    </xf>
    <xf numFmtId="175" fontId="2" fillId="32" borderId="14" xfId="0" applyNumberFormat="1" applyFont="1" applyFill="1" applyBorder="1" applyAlignment="1">
      <alignment horizontal="center" vertical="center" wrapText="1"/>
    </xf>
    <xf numFmtId="175" fontId="7" fillId="32" borderId="10" xfId="0" applyNumberFormat="1" applyFont="1" applyFill="1" applyBorder="1" applyAlignment="1">
      <alignment horizontal="center" vertical="center" wrapText="1"/>
    </xf>
    <xf numFmtId="3" fontId="19" fillId="32" borderId="27" xfId="0" applyNumberFormat="1" applyFont="1" applyFill="1" applyBorder="1" applyAlignment="1">
      <alignment horizontal="center" vertical="center" wrapText="1"/>
    </xf>
    <xf numFmtId="3" fontId="19" fillId="32" borderId="33" xfId="0" applyNumberFormat="1" applyFont="1" applyFill="1" applyBorder="1" applyAlignment="1">
      <alignment horizontal="center" vertical="center" wrapText="1"/>
    </xf>
    <xf numFmtId="3" fontId="19" fillId="32" borderId="34" xfId="0" applyNumberFormat="1" applyFont="1" applyFill="1" applyBorder="1" applyAlignment="1">
      <alignment horizontal="center" vertical="center" wrapText="1"/>
    </xf>
    <xf numFmtId="3" fontId="19" fillId="32" borderId="35" xfId="0" applyNumberFormat="1" applyFont="1" applyFill="1" applyBorder="1" applyAlignment="1">
      <alignment horizontal="center" vertical="center" wrapText="1"/>
    </xf>
    <xf numFmtId="0" fontId="2" fillId="0" borderId="0" xfId="0" applyFont="1" applyAlignment="1">
      <alignment horizontal="right" vertical="center"/>
    </xf>
    <xf numFmtId="0" fontId="3" fillId="0" borderId="26" xfId="0" applyFont="1" applyBorder="1" applyAlignment="1">
      <alignment horizontal="right" vertical="center"/>
    </xf>
  </cellXfs>
  <cellStyles count="7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ình Thường_2010" xfId="41"/>
    <cellStyle name="Calculation" xfId="42"/>
    <cellStyle name="Comma" xfId="43"/>
    <cellStyle name="Comma [0]" xfId="44"/>
    <cellStyle name="Comma 14" xfId="45"/>
    <cellStyle name="Comma 2" xfId="46"/>
    <cellStyle name="Comma 3" xfId="47"/>
    <cellStyle name="Currency" xfId="48"/>
    <cellStyle name="Currency [0]" xfId="49"/>
    <cellStyle name="Check Cell"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0 2 2" xfId="62"/>
    <cellStyle name="Normal 13" xfId="63"/>
    <cellStyle name="Normal 16 2" xfId="64"/>
    <cellStyle name="Normal 2" xfId="65"/>
    <cellStyle name="Normal 3" xfId="66"/>
    <cellStyle name="Normal 35" xfId="67"/>
    <cellStyle name="Normal 4" xfId="68"/>
    <cellStyle name="Normal 7" xfId="69"/>
    <cellStyle name="Normal_mẫu biểu theo TT342" xfId="70"/>
    <cellStyle name="Normal_Phan bo CTMT QG GNBV 2017" xfId="71"/>
    <cellStyle name="Note" xfId="72"/>
    <cellStyle name="Output" xfId="73"/>
    <cellStyle name="Percent" xfId="74"/>
    <cellStyle name="Percent 2" xfId="75"/>
    <cellStyle name="Percent 3" xfId="76"/>
    <cellStyle name="Style 1" xfId="77"/>
    <cellStyle name="Style 1 2 2" xfId="78"/>
    <cellStyle name="Style 1 3" xfId="79"/>
    <cellStyle name="Style 1 4"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Google%20Drive\Bao%20cao%20trinh%20HDND%20tinh\Nam%202019\Ky%20hop%20thu%2010\Quyet%20toan%20bo%20sung\Du%20thao\T&#7853;p%20quy&#7871;t%20to&#225;n%20%20b&#7893;%20sung%202017%20g&#7917;i%20UBND%20(18-04-2019)\Ph&#242;ng%20QLNS\Bieu%20mau%20Nghi%20dinh%2031-2017(y&#7871;n%20g&#7917;i%2016-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i&#7875;u%20thu,%20chi%20(h&#224;%20s&#7917;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61"/>
      <sheetName val="40"/>
      <sheetName val="48"/>
      <sheetName val="49"/>
      <sheetName val="50"/>
    </sheetNames>
    <sheetDataSet>
      <sheetData sheetId="0">
        <row r="13">
          <cell r="B13" t="str">
            <v>- Thuế giá trị gia tăng</v>
          </cell>
        </row>
        <row r="15">
          <cell r="B15" t="str">
            <v>- Thuế thu nhập doanh nghiệp</v>
          </cell>
        </row>
        <row r="16">
          <cell r="B16" t="str">
            <v>- Thuế tiêu thụ đặc biệt</v>
          </cell>
        </row>
        <row r="18">
          <cell r="B18" t="str">
            <v>- Thuế tài nguyên</v>
          </cell>
        </row>
        <row r="20">
          <cell r="B20" t="str">
            <v> - Thuế môn bài</v>
          </cell>
        </row>
        <row r="21">
          <cell r="B21" t="str">
            <v> - Thu hồi vốn và thu khác</v>
          </cell>
        </row>
        <row r="30">
          <cell r="B30" t="str">
            <v>- Thuế giá trị gia tăng</v>
          </cell>
        </row>
        <row r="42">
          <cell r="B42" t="str">
            <v>- Thuế giá trị gia tăng</v>
          </cell>
        </row>
        <row r="43">
          <cell r="B43" t="str">
            <v>- Thuế thu nhập doanh nghiệp</v>
          </cell>
        </row>
        <row r="44">
          <cell r="B44" t="str">
            <v>- Thuế tiêu thụ đặc biệt</v>
          </cell>
        </row>
        <row r="46">
          <cell r="B46" t="str">
            <v>- Thuế tài nguyên</v>
          </cell>
        </row>
        <row r="47">
          <cell r="B47" t="str">
            <v> - Thuế môn bài</v>
          </cell>
        </row>
        <row r="48">
          <cell r="B48" t="str">
            <v> - Các khoản thu khác ngoài quốc doanh</v>
          </cell>
        </row>
        <row r="105">
          <cell r="B105" t="str">
            <v>Các khoản huy động, đóng góp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ểu thu"/>
      <sheetName val="Biểu chi"/>
      <sheetName val="Biểu lĩnh vực"/>
    </sheetNames>
    <sheetDataSet>
      <sheetData sheetId="1">
        <row r="30">
          <cell r="D30">
            <v>266.52560500000004</v>
          </cell>
        </row>
        <row r="31">
          <cell r="D31">
            <v>210.210035</v>
          </cell>
        </row>
        <row r="32">
          <cell r="D32">
            <v>82276.888262</v>
          </cell>
        </row>
        <row r="35">
          <cell r="D35">
            <v>451</v>
          </cell>
        </row>
        <row r="36">
          <cell r="D36">
            <v>236</v>
          </cell>
        </row>
        <row r="37">
          <cell r="D37">
            <v>58</v>
          </cell>
        </row>
        <row r="38">
          <cell r="D38">
            <v>54</v>
          </cell>
        </row>
        <row r="39">
          <cell r="D39">
            <v>682.997</v>
          </cell>
        </row>
        <row r="40">
          <cell r="D40">
            <v>24465.253391</v>
          </cell>
        </row>
        <row r="41">
          <cell r="D41">
            <v>541.03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6"/>
  <sheetViews>
    <sheetView zoomScalePageLayoutView="0" workbookViewId="0" topLeftCell="A1">
      <selection activeCell="A4" sqref="A4:F4"/>
    </sheetView>
  </sheetViews>
  <sheetFormatPr defaultColWidth="9.00390625" defaultRowHeight="14.25"/>
  <cols>
    <col min="1" max="1" width="5.50390625" style="89" customWidth="1"/>
    <col min="2" max="2" width="43.625" style="89" customWidth="1"/>
    <col min="3" max="3" width="16.25390625" style="91" customWidth="1"/>
    <col min="4" max="4" width="15.375" style="91" customWidth="1"/>
    <col min="5" max="5" width="16.50390625" style="92" customWidth="1"/>
    <col min="6" max="6" width="18.00390625" style="92" customWidth="1"/>
    <col min="7" max="16384" width="9.00390625" style="89" customWidth="1"/>
  </cols>
  <sheetData>
    <row r="1" spans="1:6" s="87" customFormat="1" ht="15.75">
      <c r="A1" s="566"/>
      <c r="B1" s="566"/>
      <c r="C1" s="86"/>
      <c r="D1" s="86"/>
      <c r="E1" s="567" t="s">
        <v>650</v>
      </c>
      <c r="F1" s="567"/>
    </row>
    <row r="2" ht="15.75">
      <c r="A2" s="88"/>
    </row>
    <row r="3" spans="1:6" ht="18.75">
      <c r="A3" s="568" t="s">
        <v>651</v>
      </c>
      <c r="B3" s="568"/>
      <c r="C3" s="568"/>
      <c r="D3" s="568"/>
      <c r="E3" s="568"/>
      <c r="F3" s="568"/>
    </row>
    <row r="4" spans="1:6" ht="28.5" customHeight="1">
      <c r="A4" s="569" t="s">
        <v>680</v>
      </c>
      <c r="B4" s="569"/>
      <c r="C4" s="569"/>
      <c r="D4" s="569"/>
      <c r="E4" s="569"/>
      <c r="F4" s="569"/>
    </row>
    <row r="5" spans="1:6" ht="15.75">
      <c r="A5" s="450"/>
      <c r="B5" s="450"/>
      <c r="C5" s="450"/>
      <c r="D5" s="450"/>
      <c r="E5" s="450"/>
      <c r="F5" s="450"/>
    </row>
    <row r="6" spans="5:6" ht="15.75" customHeight="1">
      <c r="E6" s="570" t="s">
        <v>48</v>
      </c>
      <c r="F6" s="570"/>
    </row>
    <row r="7" spans="1:6" ht="31.5" customHeight="1">
      <c r="A7" s="571" t="s">
        <v>43</v>
      </c>
      <c r="B7" s="571" t="s">
        <v>44</v>
      </c>
      <c r="C7" s="573" t="s">
        <v>652</v>
      </c>
      <c r="D7" s="575" t="s">
        <v>653</v>
      </c>
      <c r="E7" s="563" t="s">
        <v>654</v>
      </c>
      <c r="F7" s="578" t="s">
        <v>642</v>
      </c>
    </row>
    <row r="8" spans="1:6" ht="24" customHeight="1">
      <c r="A8" s="572"/>
      <c r="B8" s="572"/>
      <c r="C8" s="574"/>
      <c r="D8" s="576"/>
      <c r="E8" s="564"/>
      <c r="F8" s="578"/>
    </row>
    <row r="9" spans="1:6" s="101" customFormat="1" ht="15.75" customHeight="1">
      <c r="A9" s="295" t="s">
        <v>45</v>
      </c>
      <c r="B9" s="295" t="s">
        <v>46</v>
      </c>
      <c r="C9" s="295">
        <v>1</v>
      </c>
      <c r="D9" s="295">
        <v>2</v>
      </c>
      <c r="E9" s="295" t="s">
        <v>655</v>
      </c>
      <c r="F9" s="295">
        <v>4</v>
      </c>
    </row>
    <row r="10" spans="1:6" s="105" customFormat="1" ht="30.75" customHeight="1">
      <c r="A10" s="106" t="s">
        <v>45</v>
      </c>
      <c r="B10" s="107" t="s">
        <v>393</v>
      </c>
      <c r="C10" s="108">
        <f>SUM(C11,C50,C55,C56)</f>
        <v>1123548.129879</v>
      </c>
      <c r="D10" s="108">
        <f>SUM(D11,D50,D55,D56)</f>
        <v>0</v>
      </c>
      <c r="E10" s="108">
        <f>SUM(E11,E50,E55,E56)</f>
        <v>1123548.129879</v>
      </c>
      <c r="F10" s="452"/>
    </row>
    <row r="11" spans="1:7" s="105" customFormat="1" ht="24" customHeight="1">
      <c r="A11" s="106" t="s">
        <v>54</v>
      </c>
      <c r="B11" s="107" t="s">
        <v>49</v>
      </c>
      <c r="C11" s="108">
        <f>SUM(C12,C19,C21,C28:C31,C34,C38,C41:C41,C42:C43,C45,C48:C49)</f>
        <v>1073935.829101</v>
      </c>
      <c r="D11" s="108">
        <f>SUM(D12,D19,D21,D28:D31,D34,D38,D41:D41,D42:D43,D45,D48:D49)</f>
        <v>0</v>
      </c>
      <c r="E11" s="108">
        <f>SUM(E12,E19,E21,E28:E31,E34,E38,E41:E41,E42:E43,E45,E48:E49)</f>
        <v>1073935.829101</v>
      </c>
      <c r="F11" s="452"/>
      <c r="G11" s="110"/>
    </row>
    <row r="12" spans="1:6" s="105" customFormat="1" ht="23.25" customHeight="1">
      <c r="A12" s="106">
        <v>1</v>
      </c>
      <c r="B12" s="107" t="s">
        <v>394</v>
      </c>
      <c r="C12" s="108">
        <v>247944.90302299996</v>
      </c>
      <c r="D12" s="108"/>
      <c r="E12" s="108">
        <v>247944.90302299996</v>
      </c>
      <c r="F12" s="452"/>
    </row>
    <row r="13" spans="1:6" ht="24" customHeight="1">
      <c r="A13" s="111"/>
      <c r="B13" s="112" t="s">
        <v>395</v>
      </c>
      <c r="C13" s="113">
        <v>60625.4431</v>
      </c>
      <c r="D13" s="113"/>
      <c r="E13" s="113">
        <v>60625.4431</v>
      </c>
      <c r="F13" s="453"/>
    </row>
    <row r="14" spans="1:6" ht="24" customHeight="1">
      <c r="A14" s="111"/>
      <c r="B14" s="112" t="s">
        <v>397</v>
      </c>
      <c r="C14" s="113">
        <v>8700.814715999999</v>
      </c>
      <c r="D14" s="113"/>
      <c r="E14" s="113">
        <v>8700.814715999999</v>
      </c>
      <c r="F14" s="453"/>
    </row>
    <row r="15" spans="1:6" ht="24" customHeight="1">
      <c r="A15" s="111"/>
      <c r="B15" s="112" t="s">
        <v>398</v>
      </c>
      <c r="C15" s="113">
        <v>0</v>
      </c>
      <c r="D15" s="113"/>
      <c r="E15" s="113">
        <v>0</v>
      </c>
      <c r="F15" s="453"/>
    </row>
    <row r="16" spans="1:6" ht="24" customHeight="1">
      <c r="A16" s="111"/>
      <c r="B16" s="112" t="s">
        <v>400</v>
      </c>
      <c r="C16" s="113">
        <v>178517.16439199998</v>
      </c>
      <c r="D16" s="113"/>
      <c r="E16" s="113">
        <v>178517.16439199998</v>
      </c>
      <c r="F16" s="453"/>
    </row>
    <row r="17" spans="1:6" ht="24" customHeight="1">
      <c r="A17" s="111"/>
      <c r="B17" s="112" t="s">
        <v>402</v>
      </c>
      <c r="C17" s="113">
        <v>1.5</v>
      </c>
      <c r="D17" s="113"/>
      <c r="E17" s="113">
        <v>1.5</v>
      </c>
      <c r="F17" s="453"/>
    </row>
    <row r="18" spans="1:6" ht="24" customHeight="1">
      <c r="A18" s="111"/>
      <c r="B18" s="112" t="s">
        <v>403</v>
      </c>
      <c r="C18" s="113">
        <v>99.98081499999999</v>
      </c>
      <c r="D18" s="113"/>
      <c r="E18" s="113">
        <v>99.98081499999999</v>
      </c>
      <c r="F18" s="453"/>
    </row>
    <row r="19" spans="1:6" s="105" customFormat="1" ht="31.5" customHeight="1">
      <c r="A19" s="106">
        <v>2</v>
      </c>
      <c r="B19" s="107" t="s">
        <v>405</v>
      </c>
      <c r="C19" s="108">
        <v>159.508224</v>
      </c>
      <c r="D19" s="108"/>
      <c r="E19" s="108">
        <v>159.508224</v>
      </c>
      <c r="F19" s="452"/>
    </row>
    <row r="20" spans="1:6" ht="24" customHeight="1">
      <c r="A20" s="111"/>
      <c r="B20" s="112" t="s">
        <v>395</v>
      </c>
      <c r="C20" s="113">
        <v>159.508224</v>
      </c>
      <c r="D20" s="113"/>
      <c r="E20" s="113">
        <v>159.508224</v>
      </c>
      <c r="F20" s="453"/>
    </row>
    <row r="21" spans="1:6" s="105" customFormat="1" ht="24" customHeight="1">
      <c r="A21" s="106">
        <v>3</v>
      </c>
      <c r="B21" s="107" t="s">
        <v>411</v>
      </c>
      <c r="C21" s="108">
        <v>336855</v>
      </c>
      <c r="D21" s="108"/>
      <c r="E21" s="108">
        <v>336855</v>
      </c>
      <c r="F21" s="452"/>
    </row>
    <row r="22" spans="1:6" ht="24" customHeight="1">
      <c r="A22" s="111"/>
      <c r="B22" s="112" t="s">
        <v>395</v>
      </c>
      <c r="C22" s="113">
        <v>265287.247423</v>
      </c>
      <c r="D22" s="113"/>
      <c r="E22" s="113">
        <v>265287.247423</v>
      </c>
      <c r="F22" s="453"/>
    </row>
    <row r="23" spans="1:6" ht="24" customHeight="1">
      <c r="A23" s="111"/>
      <c r="B23" s="112" t="s">
        <v>397</v>
      </c>
      <c r="C23" s="113">
        <v>21690.325709999997</v>
      </c>
      <c r="D23" s="113"/>
      <c r="E23" s="113">
        <v>21690.325709999997</v>
      </c>
      <c r="F23" s="453"/>
    </row>
    <row r="24" spans="1:6" ht="24" customHeight="1">
      <c r="A24" s="111"/>
      <c r="B24" s="112" t="s">
        <v>398</v>
      </c>
      <c r="C24" s="113">
        <v>237.833767</v>
      </c>
      <c r="D24" s="113"/>
      <c r="E24" s="113">
        <v>237.833767</v>
      </c>
      <c r="F24" s="453"/>
    </row>
    <row r="25" spans="1:6" ht="24" customHeight="1">
      <c r="A25" s="111"/>
      <c r="B25" s="112" t="s">
        <v>400</v>
      </c>
      <c r="C25" s="113">
        <v>47164</v>
      </c>
      <c r="D25" s="113"/>
      <c r="E25" s="113">
        <v>47164</v>
      </c>
      <c r="F25" s="453"/>
    </row>
    <row r="26" spans="1:6" ht="24" customHeight="1">
      <c r="A26" s="111"/>
      <c r="B26" s="112" t="s">
        <v>402</v>
      </c>
      <c r="C26" s="113">
        <v>94.3</v>
      </c>
      <c r="D26" s="113"/>
      <c r="E26" s="113">
        <v>94.3</v>
      </c>
      <c r="F26" s="453"/>
    </row>
    <row r="27" spans="1:6" ht="24" customHeight="1">
      <c r="A27" s="111" t="s">
        <v>206</v>
      </c>
      <c r="B27" s="112" t="s">
        <v>207</v>
      </c>
      <c r="C27" s="113">
        <v>2381</v>
      </c>
      <c r="D27" s="113"/>
      <c r="E27" s="113">
        <v>2381</v>
      </c>
      <c r="F27" s="453"/>
    </row>
    <row r="28" spans="1:6" s="105" customFormat="1" ht="24" customHeight="1">
      <c r="A28" s="106">
        <v>4</v>
      </c>
      <c r="B28" s="107" t="s">
        <v>577</v>
      </c>
      <c r="C28" s="108">
        <v>54590</v>
      </c>
      <c r="D28" s="108"/>
      <c r="E28" s="108">
        <v>54590</v>
      </c>
      <c r="F28" s="452"/>
    </row>
    <row r="29" spans="1:6" s="105" customFormat="1" ht="24" customHeight="1">
      <c r="A29" s="106">
        <v>5</v>
      </c>
      <c r="B29" s="107" t="s">
        <v>565</v>
      </c>
      <c r="C29" s="108">
        <v>2371.507433</v>
      </c>
      <c r="D29" s="108"/>
      <c r="E29" s="108">
        <v>2371.507433</v>
      </c>
      <c r="F29" s="452"/>
    </row>
    <row r="30" spans="1:6" s="105" customFormat="1" ht="24" customHeight="1">
      <c r="A30" s="106">
        <v>6</v>
      </c>
      <c r="B30" s="107" t="s">
        <v>546</v>
      </c>
      <c r="C30" s="108">
        <v>37369</v>
      </c>
      <c r="D30" s="108"/>
      <c r="E30" s="108">
        <v>37369</v>
      </c>
      <c r="F30" s="452"/>
    </row>
    <row r="31" spans="1:6" s="105" customFormat="1" ht="24" customHeight="1">
      <c r="A31" s="106">
        <v>7</v>
      </c>
      <c r="B31" s="107" t="s">
        <v>547</v>
      </c>
      <c r="C31" s="108">
        <v>133364.70802999998</v>
      </c>
      <c r="D31" s="108"/>
      <c r="E31" s="108">
        <v>133364.70802999998</v>
      </c>
      <c r="F31" s="452"/>
    </row>
    <row r="32" spans="1:6" s="119" customFormat="1" ht="24" customHeight="1">
      <c r="A32" s="115"/>
      <c r="B32" s="116" t="s">
        <v>209</v>
      </c>
      <c r="C32" s="117">
        <v>83667.268438</v>
      </c>
      <c r="D32" s="117"/>
      <c r="E32" s="117">
        <v>83667.268438</v>
      </c>
      <c r="F32" s="454"/>
    </row>
    <row r="33" spans="1:6" s="119" customFormat="1" ht="24" customHeight="1">
      <c r="A33" s="115"/>
      <c r="B33" s="116" t="s">
        <v>656</v>
      </c>
      <c r="C33" s="117">
        <v>49697.439592</v>
      </c>
      <c r="D33" s="117"/>
      <c r="E33" s="117">
        <v>49697.439592</v>
      </c>
      <c r="F33" s="454"/>
    </row>
    <row r="34" spans="1:6" s="105" customFormat="1" ht="24" customHeight="1">
      <c r="A34" s="106">
        <v>8</v>
      </c>
      <c r="B34" s="107" t="s">
        <v>211</v>
      </c>
      <c r="C34" s="108">
        <v>33885.305347</v>
      </c>
      <c r="D34" s="108"/>
      <c r="E34" s="108">
        <v>33885.305347</v>
      </c>
      <c r="F34" s="452"/>
    </row>
    <row r="35" spans="1:6" s="119" customFormat="1" ht="31.5" customHeight="1">
      <c r="A35" s="115"/>
      <c r="B35" s="116" t="s">
        <v>212</v>
      </c>
      <c r="C35" s="117">
        <v>5657.604658</v>
      </c>
      <c r="D35" s="117"/>
      <c r="E35" s="117">
        <v>5657.604658</v>
      </c>
      <c r="F35" s="454"/>
    </row>
    <row r="36" spans="1:6" s="119" customFormat="1" ht="31.5" customHeight="1">
      <c r="A36" s="115"/>
      <c r="B36" s="116" t="s">
        <v>213</v>
      </c>
      <c r="C36" s="117">
        <v>28227.700689</v>
      </c>
      <c r="D36" s="117"/>
      <c r="E36" s="117">
        <v>28227.700689</v>
      </c>
      <c r="F36" s="454"/>
    </row>
    <row r="37" spans="1:6" s="119" customFormat="1" ht="31.5" customHeight="1">
      <c r="A37" s="115"/>
      <c r="B37" s="116" t="s">
        <v>214</v>
      </c>
      <c r="C37" s="117">
        <v>4877.116639</v>
      </c>
      <c r="D37" s="117"/>
      <c r="E37" s="117">
        <v>4877.116639</v>
      </c>
      <c r="F37" s="454"/>
    </row>
    <row r="38" spans="1:6" s="105" customFormat="1" ht="24" customHeight="1">
      <c r="A38" s="106">
        <v>9</v>
      </c>
      <c r="B38" s="107" t="s">
        <v>215</v>
      </c>
      <c r="C38" s="108">
        <v>123242.338632</v>
      </c>
      <c r="D38" s="108"/>
      <c r="E38" s="108">
        <v>123242.338632</v>
      </c>
      <c r="F38" s="452"/>
    </row>
    <row r="39" spans="1:6" s="119" customFormat="1" ht="31.5" customHeight="1">
      <c r="A39" s="115"/>
      <c r="B39" s="116" t="s">
        <v>216</v>
      </c>
      <c r="C39" s="117">
        <v>0</v>
      </c>
      <c r="D39" s="117"/>
      <c r="E39" s="117">
        <v>0</v>
      </c>
      <c r="F39" s="454"/>
    </row>
    <row r="40" spans="1:6" s="119" customFormat="1" ht="31.5" customHeight="1">
      <c r="A40" s="115"/>
      <c r="B40" s="116" t="s">
        <v>217</v>
      </c>
      <c r="C40" s="117">
        <v>123242</v>
      </c>
      <c r="D40" s="117"/>
      <c r="E40" s="117">
        <v>123242</v>
      </c>
      <c r="F40" s="454"/>
    </row>
    <row r="41" spans="1:6" s="105" customFormat="1" ht="24" customHeight="1">
      <c r="A41" s="106">
        <v>10</v>
      </c>
      <c r="B41" s="107" t="s">
        <v>218</v>
      </c>
      <c r="C41" s="108">
        <v>27229.219323999998</v>
      </c>
      <c r="D41" s="108"/>
      <c r="E41" s="108">
        <v>27229.219323999998</v>
      </c>
      <c r="F41" s="452"/>
    </row>
    <row r="42" spans="1:6" s="105" customFormat="1" ht="31.5" customHeight="1">
      <c r="A42" s="106">
        <v>11</v>
      </c>
      <c r="B42" s="107" t="s">
        <v>228</v>
      </c>
      <c r="C42" s="108">
        <v>783.3</v>
      </c>
      <c r="D42" s="108"/>
      <c r="E42" s="108">
        <v>783.3</v>
      </c>
      <c r="F42" s="452"/>
    </row>
    <row r="43" spans="1:6" s="105" customFormat="1" ht="24" customHeight="1">
      <c r="A43" s="106">
        <v>12</v>
      </c>
      <c r="B43" s="107" t="s">
        <v>567</v>
      </c>
      <c r="C43" s="108">
        <v>42002.862809</v>
      </c>
      <c r="D43" s="108"/>
      <c r="E43" s="108">
        <v>42002.862809</v>
      </c>
      <c r="F43" s="452"/>
    </row>
    <row r="44" spans="1:6" s="119" customFormat="1" ht="31.5" customHeight="1">
      <c r="A44" s="116"/>
      <c r="B44" s="116" t="s">
        <v>229</v>
      </c>
      <c r="C44" s="117">
        <v>15379.976041</v>
      </c>
      <c r="D44" s="117"/>
      <c r="E44" s="117">
        <v>15379.976041</v>
      </c>
      <c r="F44" s="454"/>
    </row>
    <row r="45" spans="1:6" s="105" customFormat="1" ht="24" customHeight="1">
      <c r="A45" s="106">
        <v>18</v>
      </c>
      <c r="B45" s="107" t="s">
        <v>566</v>
      </c>
      <c r="C45" s="108">
        <v>6989.2988000000005</v>
      </c>
      <c r="D45" s="108"/>
      <c r="E45" s="108">
        <v>6989.2988000000005</v>
      </c>
      <c r="F45" s="452"/>
    </row>
    <row r="46" spans="1:6" s="119" customFormat="1" ht="24" customHeight="1">
      <c r="A46" s="116"/>
      <c r="B46" s="116" t="s">
        <v>230</v>
      </c>
      <c r="C46" s="117">
        <v>0</v>
      </c>
      <c r="D46" s="117"/>
      <c r="E46" s="117">
        <v>0</v>
      </c>
      <c r="F46" s="454"/>
    </row>
    <row r="47" spans="1:6" s="119" customFormat="1" ht="31.5" customHeight="1">
      <c r="A47" s="115"/>
      <c r="B47" s="116" t="s">
        <v>231</v>
      </c>
      <c r="C47" s="117">
        <v>6989.2988000000005</v>
      </c>
      <c r="D47" s="117"/>
      <c r="E47" s="117">
        <v>6989.2988000000005</v>
      </c>
      <c r="F47" s="454"/>
    </row>
    <row r="48" spans="1:6" s="105" customFormat="1" ht="31.5" customHeight="1">
      <c r="A48" s="106">
        <v>13</v>
      </c>
      <c r="B48" s="107" t="s">
        <v>232</v>
      </c>
      <c r="C48" s="108">
        <v>3796.030826</v>
      </c>
      <c r="D48" s="108"/>
      <c r="E48" s="108">
        <v>3796.030826</v>
      </c>
      <c r="F48" s="452"/>
    </row>
    <row r="49" spans="1:6" s="105" customFormat="1" ht="31.5" customHeight="1">
      <c r="A49" s="106">
        <v>14</v>
      </c>
      <c r="B49" s="107" t="s">
        <v>359</v>
      </c>
      <c r="C49" s="108">
        <v>23352.846653</v>
      </c>
      <c r="D49" s="108"/>
      <c r="E49" s="108">
        <v>23352.846653</v>
      </c>
      <c r="F49" s="452"/>
    </row>
    <row r="50" spans="1:6" s="105" customFormat="1" ht="24" customHeight="1">
      <c r="A50" s="106" t="s">
        <v>50</v>
      </c>
      <c r="B50" s="107" t="s">
        <v>279</v>
      </c>
      <c r="C50" s="108">
        <v>16070.300778</v>
      </c>
      <c r="D50" s="108"/>
      <c r="E50" s="108">
        <v>16070.300778</v>
      </c>
      <c r="F50" s="452"/>
    </row>
    <row r="51" spans="1:6" ht="24" customHeight="1">
      <c r="A51" s="111">
        <v>1</v>
      </c>
      <c r="B51" s="112" t="s">
        <v>568</v>
      </c>
      <c r="C51" s="113">
        <v>1574.620421</v>
      </c>
      <c r="D51" s="113"/>
      <c r="E51" s="113">
        <v>1574.620421</v>
      </c>
      <c r="F51" s="453"/>
    </row>
    <row r="52" spans="1:6" ht="24" customHeight="1">
      <c r="A52" s="111">
        <v>2</v>
      </c>
      <c r="B52" s="112" t="s">
        <v>280</v>
      </c>
      <c r="C52" s="113">
        <v>9.062</v>
      </c>
      <c r="D52" s="113"/>
      <c r="E52" s="113">
        <v>9.062</v>
      </c>
      <c r="F52" s="453"/>
    </row>
    <row r="53" spans="1:6" ht="24" customHeight="1">
      <c r="A53" s="111">
        <v>3</v>
      </c>
      <c r="B53" s="112" t="s">
        <v>281</v>
      </c>
      <c r="C53" s="113">
        <v>14357.785535</v>
      </c>
      <c r="D53" s="113"/>
      <c r="E53" s="113">
        <v>14357.785535</v>
      </c>
      <c r="F53" s="453"/>
    </row>
    <row r="54" spans="1:6" ht="24" customHeight="1">
      <c r="A54" s="111">
        <v>4</v>
      </c>
      <c r="B54" s="112" t="s">
        <v>569</v>
      </c>
      <c r="C54" s="113">
        <v>128.732822</v>
      </c>
      <c r="D54" s="113"/>
      <c r="E54" s="113">
        <v>128.732822</v>
      </c>
      <c r="F54" s="453"/>
    </row>
    <row r="55" spans="1:6" s="105" customFormat="1" ht="24" customHeight="1">
      <c r="A55" s="106" t="s">
        <v>51</v>
      </c>
      <c r="B55" s="107" t="s">
        <v>286</v>
      </c>
      <c r="C55" s="108">
        <v>19372</v>
      </c>
      <c r="D55" s="108"/>
      <c r="E55" s="108">
        <v>19372</v>
      </c>
      <c r="F55" s="452"/>
    </row>
    <row r="56" spans="1:6" s="105" customFormat="1" ht="24" customHeight="1">
      <c r="A56" s="106" t="s">
        <v>52</v>
      </c>
      <c r="B56" s="107" t="s">
        <v>287</v>
      </c>
      <c r="C56" s="108">
        <v>14170</v>
      </c>
      <c r="D56" s="108"/>
      <c r="E56" s="108">
        <v>14170</v>
      </c>
      <c r="F56" s="452"/>
    </row>
    <row r="57" spans="1:6" ht="31.5" customHeight="1">
      <c r="A57" s="111">
        <v>1</v>
      </c>
      <c r="B57" s="112" t="s">
        <v>511</v>
      </c>
      <c r="C57" s="113">
        <v>1272</v>
      </c>
      <c r="D57" s="113"/>
      <c r="E57" s="113">
        <v>1272</v>
      </c>
      <c r="F57" s="453"/>
    </row>
    <row r="58" spans="1:6" ht="24" customHeight="1">
      <c r="A58" s="111">
        <v>2</v>
      </c>
      <c r="B58" s="112" t="s">
        <v>512</v>
      </c>
      <c r="C58" s="113">
        <v>12898</v>
      </c>
      <c r="D58" s="113"/>
      <c r="E58" s="113">
        <v>12898</v>
      </c>
      <c r="F58" s="453"/>
    </row>
    <row r="59" spans="1:6" s="105" customFormat="1" ht="24" customHeight="1">
      <c r="A59" s="106"/>
      <c r="B59" s="107"/>
      <c r="C59" s="108"/>
      <c r="D59" s="108"/>
      <c r="E59" s="455"/>
      <c r="F59" s="452"/>
    </row>
    <row r="60" spans="1:6" s="105" customFormat="1" ht="24" customHeight="1">
      <c r="A60" s="456" t="s">
        <v>46</v>
      </c>
      <c r="B60" s="107" t="s">
        <v>657</v>
      </c>
      <c r="C60" s="108">
        <f>SUM(C61,C64,C69,C70,C71,C72,C73)</f>
        <v>10592997.115072</v>
      </c>
      <c r="D60" s="108">
        <f>SUM(D61,D64,D69,D70,D71,D72,D73)</f>
        <v>116458.742815</v>
      </c>
      <c r="E60" s="108">
        <f>SUM(E61,E64,E69,E70,E71,E72,E73)</f>
        <v>10709455.930380998</v>
      </c>
      <c r="F60" s="452"/>
    </row>
    <row r="61" spans="1:6" s="461" customFormat="1" ht="24" customHeight="1">
      <c r="A61" s="456" t="s">
        <v>54</v>
      </c>
      <c r="B61" s="457" t="s">
        <v>658</v>
      </c>
      <c r="C61" s="458">
        <f>SUM(C62:C63)</f>
        <v>983166</v>
      </c>
      <c r="D61" s="458">
        <f>SUM(D62:D63)</f>
        <v>0</v>
      </c>
      <c r="E61" s="459">
        <f>SUM(E62:E63)</f>
        <v>983166.072494</v>
      </c>
      <c r="F61" s="460"/>
    </row>
    <row r="62" spans="1:6" ht="24" customHeight="1">
      <c r="A62" s="111">
        <v>1</v>
      </c>
      <c r="B62" s="157" t="s">
        <v>659</v>
      </c>
      <c r="C62" s="113">
        <v>539404</v>
      </c>
      <c r="D62" s="113"/>
      <c r="E62" s="113">
        <v>539404.367824</v>
      </c>
      <c r="F62" s="453"/>
    </row>
    <row r="63" spans="1:6" ht="24" customHeight="1">
      <c r="A63" s="111">
        <v>2</v>
      </c>
      <c r="B63" s="157" t="s">
        <v>660</v>
      </c>
      <c r="C63" s="113">
        <v>443762</v>
      </c>
      <c r="D63" s="113"/>
      <c r="E63" s="113">
        <v>443761.70467</v>
      </c>
      <c r="F63" s="453"/>
    </row>
    <row r="64" spans="1:6" s="124" customFormat="1" ht="24" customHeight="1">
      <c r="A64" s="120" t="s">
        <v>50</v>
      </c>
      <c r="B64" s="121" t="s">
        <v>550</v>
      </c>
      <c r="C64" s="122">
        <f>SUM(C65:C66)</f>
        <v>8035043.942152</v>
      </c>
      <c r="D64" s="122">
        <f>SUM(D65:D66)</f>
        <v>115088</v>
      </c>
      <c r="E64" s="122">
        <f>SUM(E65:E66)</f>
        <v>8150131.942152</v>
      </c>
      <c r="F64" s="462"/>
    </row>
    <row r="65" spans="1:6" s="124" customFormat="1" ht="24" customHeight="1">
      <c r="A65" s="120" t="s">
        <v>661</v>
      </c>
      <c r="B65" s="121" t="s">
        <v>524</v>
      </c>
      <c r="C65" s="122">
        <v>5666899</v>
      </c>
      <c r="D65" s="122"/>
      <c r="E65" s="122">
        <v>5666899</v>
      </c>
      <c r="F65" s="462"/>
    </row>
    <row r="66" spans="1:6" s="124" customFormat="1" ht="24" customHeight="1">
      <c r="A66" s="120" t="s">
        <v>662</v>
      </c>
      <c r="B66" s="121" t="s">
        <v>10</v>
      </c>
      <c r="C66" s="122">
        <f>SUM(C67:C68)</f>
        <v>2368144.942152</v>
      </c>
      <c r="D66" s="122">
        <f>E66-C66</f>
        <v>115088</v>
      </c>
      <c r="E66" s="463">
        <v>2483232.942152</v>
      </c>
      <c r="F66" s="462"/>
    </row>
    <row r="67" spans="1:6" s="129" customFormat="1" ht="31.5" customHeight="1">
      <c r="A67" s="125" t="s">
        <v>156</v>
      </c>
      <c r="B67" s="126" t="s">
        <v>525</v>
      </c>
      <c r="C67" s="127">
        <v>2038964.265388</v>
      </c>
      <c r="D67" s="464">
        <v>115088</v>
      </c>
      <c r="E67" s="465">
        <f>C67+D67</f>
        <v>2154052.265388</v>
      </c>
      <c r="F67" s="466"/>
    </row>
    <row r="68" spans="1:6" s="129" customFormat="1" ht="31.5" customHeight="1">
      <c r="A68" s="125" t="s">
        <v>157</v>
      </c>
      <c r="B68" s="126" t="s">
        <v>526</v>
      </c>
      <c r="C68" s="127">
        <v>329180.67676400003</v>
      </c>
      <c r="D68" s="127"/>
      <c r="E68" s="127">
        <v>329180.67676400003</v>
      </c>
      <c r="F68" s="466"/>
    </row>
    <row r="69" spans="1:6" s="105" customFormat="1" ht="24" customHeight="1">
      <c r="A69" s="106" t="s">
        <v>51</v>
      </c>
      <c r="B69" s="107" t="s">
        <v>337</v>
      </c>
      <c r="C69" s="108">
        <v>52876</v>
      </c>
      <c r="D69" s="108">
        <f>E69-C69</f>
        <v>1370.7428149999978</v>
      </c>
      <c r="E69" s="455">
        <v>54246.742815</v>
      </c>
      <c r="F69" s="452"/>
    </row>
    <row r="70" spans="1:6" s="105" customFormat="1" ht="24" customHeight="1">
      <c r="A70" s="106" t="s">
        <v>52</v>
      </c>
      <c r="B70" s="107" t="s">
        <v>663</v>
      </c>
      <c r="C70" s="108">
        <v>1491470</v>
      </c>
      <c r="D70" s="108"/>
      <c r="E70" s="108">
        <v>1491470</v>
      </c>
      <c r="F70" s="452"/>
    </row>
    <row r="71" spans="1:6" s="105" customFormat="1" ht="24" customHeight="1">
      <c r="A71" s="106" t="s">
        <v>66</v>
      </c>
      <c r="B71" s="107" t="s">
        <v>664</v>
      </c>
      <c r="C71" s="108">
        <v>3688</v>
      </c>
      <c r="D71" s="108"/>
      <c r="E71" s="108">
        <v>3688</v>
      </c>
      <c r="F71" s="452"/>
    </row>
    <row r="72" spans="1:6" s="105" customFormat="1" ht="24" customHeight="1">
      <c r="A72" s="106" t="s">
        <v>575</v>
      </c>
      <c r="B72" s="107" t="s">
        <v>286</v>
      </c>
      <c r="C72" s="108">
        <v>19372.441975</v>
      </c>
      <c r="D72" s="108"/>
      <c r="E72" s="108">
        <v>19372.441975</v>
      </c>
      <c r="F72" s="452"/>
    </row>
    <row r="73" spans="1:6" s="105" customFormat="1" ht="24" customHeight="1">
      <c r="A73" s="106" t="s">
        <v>316</v>
      </c>
      <c r="B73" s="107" t="s">
        <v>665</v>
      </c>
      <c r="C73" s="108">
        <v>7380.730945</v>
      </c>
      <c r="D73" s="108"/>
      <c r="E73" s="108">
        <v>7380.730945</v>
      </c>
      <c r="F73" s="452"/>
    </row>
    <row r="74" spans="1:6" s="105" customFormat="1" ht="24" customHeight="1">
      <c r="A74" s="93"/>
      <c r="B74" s="130"/>
      <c r="C74" s="131"/>
      <c r="D74" s="131"/>
      <c r="E74" s="467"/>
      <c r="F74" s="468"/>
    </row>
    <row r="75" ht="24" customHeight="1">
      <c r="A75" s="138"/>
    </row>
    <row r="76" spans="1:6" ht="15.75">
      <c r="A76" s="582"/>
      <c r="B76" s="582"/>
      <c r="C76" s="583"/>
      <c r="D76" s="583"/>
      <c r="E76" s="582"/>
      <c r="F76" s="582"/>
    </row>
    <row r="77" spans="1:6" ht="15.75">
      <c r="A77" s="577"/>
      <c r="B77" s="577"/>
      <c r="C77" s="565"/>
      <c r="D77" s="565"/>
      <c r="E77" s="577"/>
      <c r="F77" s="577"/>
    </row>
    <row r="78" spans="1:6" ht="15.75">
      <c r="A78" s="579"/>
      <c r="B78" s="579"/>
      <c r="C78" s="580"/>
      <c r="D78" s="580"/>
      <c r="E78" s="579"/>
      <c r="F78" s="579"/>
    </row>
    <row r="79" spans="1:6" ht="15.75">
      <c r="A79" s="143"/>
      <c r="B79" s="143"/>
      <c r="C79" s="145"/>
      <c r="D79" s="145"/>
      <c r="E79" s="146"/>
      <c r="F79" s="146"/>
    </row>
    <row r="80" spans="1:6" ht="15.75" hidden="1">
      <c r="A80" s="143"/>
      <c r="B80" s="143"/>
      <c r="C80" s="145"/>
      <c r="D80" s="145">
        <v>7694075.36321</v>
      </c>
      <c r="E80" s="146"/>
      <c r="F80" s="146"/>
    </row>
    <row r="81" spans="1:6" ht="15.75" hidden="1">
      <c r="A81" s="143"/>
      <c r="B81" s="143"/>
      <c r="C81" s="145"/>
      <c r="D81" s="145">
        <f>D64-D80</f>
        <v>-7578987.36321</v>
      </c>
      <c r="E81" s="146"/>
      <c r="F81" s="146"/>
    </row>
    <row r="82" spans="1:6" ht="15.75" hidden="1">
      <c r="A82" s="143"/>
      <c r="B82" s="143"/>
      <c r="C82" s="145"/>
      <c r="D82" s="145">
        <v>71576.16168</v>
      </c>
      <c r="E82" s="146"/>
      <c r="F82" s="146"/>
    </row>
    <row r="83" spans="1:4" ht="15.75" hidden="1">
      <c r="A83" s="138"/>
      <c r="D83" s="91">
        <v>210519.629698</v>
      </c>
    </row>
    <row r="84" ht="15" hidden="1">
      <c r="D84" s="91">
        <f>D81-D83-D82</f>
        <v>-7861083.154588</v>
      </c>
    </row>
    <row r="86" spans="1:6" ht="15.75">
      <c r="A86" s="581"/>
      <c r="B86" s="581"/>
      <c r="C86" s="581"/>
      <c r="D86" s="581"/>
      <c r="E86" s="581"/>
      <c r="F86" s="581"/>
    </row>
  </sheetData>
  <sheetProtection/>
  <mergeCells count="21">
    <mergeCell ref="A86:F86"/>
    <mergeCell ref="A76:B76"/>
    <mergeCell ref="C76:D76"/>
    <mergeCell ref="E76:F76"/>
    <mergeCell ref="A77:B77"/>
    <mergeCell ref="D7:D8"/>
    <mergeCell ref="E77:F77"/>
    <mergeCell ref="F7:F8"/>
    <mergeCell ref="A78:B78"/>
    <mergeCell ref="C78:D78"/>
    <mergeCell ref="E78:F78"/>
    <mergeCell ref="E7:E8"/>
    <mergeCell ref="C77:D77"/>
    <mergeCell ref="A1:B1"/>
    <mergeCell ref="E1:F1"/>
    <mergeCell ref="A3:F3"/>
    <mergeCell ref="A4:F4"/>
    <mergeCell ref="E6:F6"/>
    <mergeCell ref="A7:A8"/>
    <mergeCell ref="B7:B8"/>
    <mergeCell ref="C7:C8"/>
  </mergeCells>
  <printOptions horizontalCentered="1"/>
  <pageMargins left="0" right="0" top="0" bottom="0" header="0.5" footer="0.5"/>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J72"/>
  <sheetViews>
    <sheetView zoomScalePageLayoutView="0" workbookViewId="0" topLeftCell="A1">
      <selection activeCell="D6" sqref="D6"/>
    </sheetView>
  </sheetViews>
  <sheetFormatPr defaultColWidth="9.125" defaultRowHeight="14.25"/>
  <cols>
    <col min="1" max="1" width="4.125" style="361" customWidth="1"/>
    <col min="2" max="2" width="46.00390625" style="361" customWidth="1"/>
    <col min="3" max="4" width="10.875" style="362" customWidth="1"/>
    <col min="5" max="5" width="14.00390625" style="362" customWidth="1"/>
    <col min="6" max="6" width="13.75390625" style="362" customWidth="1"/>
    <col min="7" max="8" width="10.875" style="362" customWidth="1"/>
    <col min="9" max="16384" width="9.125" style="361" customWidth="1"/>
  </cols>
  <sheetData>
    <row r="1" spans="7:8" ht="15.75">
      <c r="G1" s="363"/>
      <c r="H1" s="334" t="s">
        <v>319</v>
      </c>
    </row>
    <row r="2" spans="1:8" ht="33.75" customHeight="1">
      <c r="A2" s="643" t="s">
        <v>645</v>
      </c>
      <c r="B2" s="643"/>
      <c r="C2" s="643"/>
      <c r="D2" s="643"/>
      <c r="E2" s="643"/>
      <c r="F2" s="643"/>
      <c r="G2" s="643"/>
      <c r="H2" s="643"/>
    </row>
    <row r="3" spans="1:8" ht="23.25" customHeight="1">
      <c r="A3" s="618" t="s">
        <v>683</v>
      </c>
      <c r="B3" s="618"/>
      <c r="C3" s="618"/>
      <c r="D3" s="618"/>
      <c r="E3" s="618"/>
      <c r="F3" s="618"/>
      <c r="G3" s="618"/>
      <c r="H3" s="618"/>
    </row>
    <row r="4" spans="6:8" ht="15" customHeight="1">
      <c r="F4" s="647" t="s">
        <v>48</v>
      </c>
      <c r="G4" s="647"/>
      <c r="H4" s="647"/>
    </row>
    <row r="5" spans="1:8" s="364" customFormat="1" ht="15.75">
      <c r="A5" s="587" t="s">
        <v>43</v>
      </c>
      <c r="B5" s="587" t="s">
        <v>44</v>
      </c>
      <c r="C5" s="587" t="s">
        <v>314</v>
      </c>
      <c r="D5" s="587"/>
      <c r="E5" s="587" t="s">
        <v>4</v>
      </c>
      <c r="F5" s="587"/>
      <c r="G5" s="587" t="s">
        <v>563</v>
      </c>
      <c r="H5" s="587"/>
    </row>
    <row r="6" spans="1:8" s="364" customFormat="1" ht="31.5">
      <c r="A6" s="587"/>
      <c r="B6" s="587"/>
      <c r="C6" s="41" t="s">
        <v>363</v>
      </c>
      <c r="D6" s="41" t="s">
        <v>364</v>
      </c>
      <c r="E6" s="41" t="s">
        <v>363</v>
      </c>
      <c r="F6" s="41" t="s">
        <v>364</v>
      </c>
      <c r="G6" s="41" t="s">
        <v>363</v>
      </c>
      <c r="H6" s="41" t="s">
        <v>364</v>
      </c>
    </row>
    <row r="7" spans="1:8" s="364" customFormat="1" ht="22.5" customHeight="1">
      <c r="A7" s="41" t="s">
        <v>45</v>
      </c>
      <c r="B7" s="41" t="s">
        <v>46</v>
      </c>
      <c r="C7" s="41">
        <v>1</v>
      </c>
      <c r="D7" s="41">
        <v>2</v>
      </c>
      <c r="E7" s="41">
        <v>3</v>
      </c>
      <c r="F7" s="41">
        <v>4</v>
      </c>
      <c r="G7" s="41" t="s">
        <v>365</v>
      </c>
      <c r="H7" s="41" t="s">
        <v>366</v>
      </c>
    </row>
    <row r="8" spans="1:10" s="349" customFormat="1" ht="22.5" customHeight="1">
      <c r="A8" s="298"/>
      <c r="B8" s="365" t="s">
        <v>117</v>
      </c>
      <c r="C8" s="366">
        <f>SUM(C9,C63,C64,C65,C66)</f>
        <v>1052500</v>
      </c>
      <c r="D8" s="366">
        <f>SUM(D9,D63,D64,D65,D66)</f>
        <v>947500</v>
      </c>
      <c r="E8" s="299">
        <f>SUM(E9,E63,E64,E65,E66)</f>
        <v>2792588.374183</v>
      </c>
      <c r="F8" s="299">
        <f>SUM(F9,F63,F64,F65,F66)</f>
        <v>2551944.581055</v>
      </c>
      <c r="G8" s="346">
        <f>E8/C8</f>
        <v>2.65329061680095</v>
      </c>
      <c r="H8" s="346">
        <f>F8/D8</f>
        <v>2.6933452042796833</v>
      </c>
      <c r="J8" s="367"/>
    </row>
    <row r="9" spans="1:8" s="349" customFormat="1" ht="22.5" customHeight="1">
      <c r="A9" s="303" t="s">
        <v>45</v>
      </c>
      <c r="B9" s="368" t="s">
        <v>367</v>
      </c>
      <c r="C9" s="369">
        <f>SUM(C10,C53,C54,C61,C62)</f>
        <v>1052500</v>
      </c>
      <c r="D9" s="369">
        <f>SUM(D10,D53,D54,D61,D62)</f>
        <v>947500</v>
      </c>
      <c r="E9" s="304">
        <f>SUM(E10,E53,E54,E61,E62)</f>
        <v>1123548.98285</v>
      </c>
      <c r="F9" s="304">
        <f>SUM(F10,F53,F54,F61,F62)</f>
        <v>1002538.5144689998</v>
      </c>
      <c r="G9" s="347">
        <f aca="true" t="shared" si="0" ref="G9:H59">E9/C9</f>
        <v>1.0675049718289786</v>
      </c>
      <c r="H9" s="347">
        <f t="shared" si="0"/>
        <v>1.0580881419197887</v>
      </c>
    </row>
    <row r="10" spans="1:10" s="349" customFormat="1" ht="22.5" customHeight="1">
      <c r="A10" s="303" t="s">
        <v>54</v>
      </c>
      <c r="B10" s="368" t="s">
        <v>49</v>
      </c>
      <c r="C10" s="369">
        <f>SUM(C11,C18,C20,C27:C28,C31:C32,C37:C42,C47:C50,C51:C52)</f>
        <v>1037000</v>
      </c>
      <c r="D10" s="369">
        <f>SUM(D11,D18,D20,D27:D28,D31:D32,D37:D42,D47:D50,D51:D52)</f>
        <v>947500</v>
      </c>
      <c r="E10" s="304">
        <f>SUM(E11,E18,E20,E27:E28,E31:E32,E37:E42,E47:E50,E51:E52)</f>
        <v>1073935.922335</v>
      </c>
      <c r="F10" s="304">
        <f>SUM(F11,F18,F20,F27:F28,F31:F32,F37:F42,F47:F50,F51:F52)</f>
        <v>968995.7547319998</v>
      </c>
      <c r="G10" s="347">
        <f t="shared" si="0"/>
        <v>1.035618054324976</v>
      </c>
      <c r="H10" s="347">
        <f t="shared" si="0"/>
        <v>1.0226868123820578</v>
      </c>
      <c r="I10" s="367"/>
      <c r="J10" s="367"/>
    </row>
    <row r="11" spans="1:8" ht="22.5" customHeight="1">
      <c r="A11" s="370">
        <v>1</v>
      </c>
      <c r="B11" s="370" t="s">
        <v>394</v>
      </c>
      <c r="C11" s="300">
        <f>SUM(C12:C17)</f>
        <v>243000</v>
      </c>
      <c r="D11" s="300">
        <f>SUM(D12:D17)</f>
        <v>243000</v>
      </c>
      <c r="E11" s="48">
        <f>SUM(E12:E17)</f>
        <v>247944.90302299996</v>
      </c>
      <c r="F11" s="48">
        <f>SUM(F12:F17)</f>
        <v>247911.53836199996</v>
      </c>
      <c r="G11" s="348">
        <f t="shared" si="0"/>
        <v>1.0203493951563785</v>
      </c>
      <c r="H11" s="348">
        <f t="shared" si="0"/>
        <v>1.020212092024691</v>
      </c>
    </row>
    <row r="12" spans="1:8" ht="22.5" customHeight="1">
      <c r="A12" s="370"/>
      <c r="B12" s="370" t="str">
        <f>'[1]B61'!B13</f>
        <v>- Thuế giá trị gia tăng</v>
      </c>
      <c r="C12" s="300">
        <v>92370</v>
      </c>
      <c r="D12" s="300">
        <f>C12</f>
        <v>92370</v>
      </c>
      <c r="E12" s="48">
        <v>60625.4431</v>
      </c>
      <c r="F12" s="48">
        <v>60625.4431</v>
      </c>
      <c r="G12" s="348">
        <f t="shared" si="0"/>
        <v>0.6563326090722096</v>
      </c>
      <c r="H12" s="348">
        <f t="shared" si="0"/>
        <v>0.6563326090722096</v>
      </c>
    </row>
    <row r="13" spans="1:8" ht="22.5" customHeight="1">
      <c r="A13" s="370"/>
      <c r="B13" s="370" t="str">
        <f>'[1]B61'!B15</f>
        <v>- Thuế thu nhập doanh nghiệp</v>
      </c>
      <c r="C13" s="300">
        <v>6100</v>
      </c>
      <c r="D13" s="300">
        <f>C13</f>
        <v>6100</v>
      </c>
      <c r="E13" s="48">
        <v>8700.814715999999</v>
      </c>
      <c r="F13" s="48">
        <v>8700.814715999999</v>
      </c>
      <c r="G13" s="348">
        <f t="shared" si="0"/>
        <v>1.4263630681967212</v>
      </c>
      <c r="H13" s="348">
        <f t="shared" si="0"/>
        <v>1.4263630681967212</v>
      </c>
    </row>
    <row r="14" spans="1:8" ht="22.5" customHeight="1">
      <c r="A14" s="370"/>
      <c r="B14" s="370" t="str">
        <f>'[1]B61'!B16</f>
        <v>- Thuế tiêu thụ đặc biệt</v>
      </c>
      <c r="C14" s="300">
        <v>30</v>
      </c>
      <c r="D14" s="300">
        <f>C14</f>
        <v>30</v>
      </c>
      <c r="E14" s="48">
        <v>0</v>
      </c>
      <c r="F14" s="48">
        <v>0</v>
      </c>
      <c r="G14" s="348">
        <f t="shared" si="0"/>
        <v>0</v>
      </c>
      <c r="H14" s="348">
        <f t="shared" si="0"/>
        <v>0</v>
      </c>
    </row>
    <row r="15" spans="1:8" ht="22.5" customHeight="1">
      <c r="A15" s="370"/>
      <c r="B15" s="370" t="str">
        <f>'[1]B61'!B18</f>
        <v>- Thuế tài nguyên</v>
      </c>
      <c r="C15" s="300">
        <v>144500</v>
      </c>
      <c r="D15" s="300">
        <f>C15</f>
        <v>144500</v>
      </c>
      <c r="E15" s="48">
        <v>178517.16439199998</v>
      </c>
      <c r="F15" s="48">
        <v>178517.16439199998</v>
      </c>
      <c r="G15" s="348">
        <f t="shared" si="0"/>
        <v>1.235412902366782</v>
      </c>
      <c r="H15" s="348">
        <f t="shared" si="0"/>
        <v>1.235412902366782</v>
      </c>
    </row>
    <row r="16" spans="1:8" ht="22.5" customHeight="1">
      <c r="A16" s="370"/>
      <c r="B16" s="370" t="str">
        <f>'[1]B61'!B20</f>
        <v> - Thuế môn bài</v>
      </c>
      <c r="C16" s="300"/>
      <c r="D16" s="300"/>
      <c r="E16" s="48">
        <v>1.5</v>
      </c>
      <c r="F16" s="48">
        <v>1.5</v>
      </c>
      <c r="G16" s="348"/>
      <c r="H16" s="348"/>
    </row>
    <row r="17" spans="1:8" ht="22.5" customHeight="1">
      <c r="A17" s="370"/>
      <c r="B17" s="370" t="str">
        <f>'[1]B61'!B21</f>
        <v> - Thu hồi vốn và thu khác</v>
      </c>
      <c r="C17" s="300"/>
      <c r="D17" s="300"/>
      <c r="E17" s="48">
        <v>99.98081499999999</v>
      </c>
      <c r="F17" s="48">
        <v>66.616154</v>
      </c>
      <c r="G17" s="348"/>
      <c r="H17" s="348"/>
    </row>
    <row r="18" spans="1:8" ht="31.5">
      <c r="A18" s="370">
        <v>2</v>
      </c>
      <c r="B18" s="370" t="s">
        <v>368</v>
      </c>
      <c r="C18" s="300">
        <f>SUM(C19)</f>
        <v>100</v>
      </c>
      <c r="D18" s="300">
        <f>SUM(D19)</f>
        <v>100</v>
      </c>
      <c r="E18" s="48">
        <f>SUM(E19)</f>
        <v>159.508224</v>
      </c>
      <c r="F18" s="48">
        <f>SUM(F19)</f>
        <v>159.508224</v>
      </c>
      <c r="G18" s="348">
        <f t="shared" si="0"/>
        <v>1.5950822400000002</v>
      </c>
      <c r="H18" s="348">
        <f t="shared" si="0"/>
        <v>1.5950822400000002</v>
      </c>
    </row>
    <row r="19" spans="1:8" ht="22.5" customHeight="1">
      <c r="A19" s="370"/>
      <c r="B19" s="370" t="str">
        <f>'[1]B61'!B30</f>
        <v>- Thuế giá trị gia tăng</v>
      </c>
      <c r="C19" s="300">
        <v>100</v>
      </c>
      <c r="D19" s="300">
        <f>C19</f>
        <v>100</v>
      </c>
      <c r="E19" s="48">
        <v>159.508224</v>
      </c>
      <c r="F19" s="48">
        <v>159.508224</v>
      </c>
      <c r="G19" s="348">
        <f t="shared" si="0"/>
        <v>1.5950822400000002</v>
      </c>
      <c r="H19" s="348">
        <f t="shared" si="0"/>
        <v>1.5950822400000002</v>
      </c>
    </row>
    <row r="20" spans="1:8" ht="22.5" customHeight="1">
      <c r="A20" s="370">
        <v>3</v>
      </c>
      <c r="B20" s="370" t="s">
        <v>369</v>
      </c>
      <c r="C20" s="300">
        <f>SUM(C21:C26)</f>
        <v>389100</v>
      </c>
      <c r="D20" s="300">
        <f>SUM(D21:D26)</f>
        <v>389100</v>
      </c>
      <c r="E20" s="48">
        <f>SUM(E21:E26)</f>
        <v>336854.47526499996</v>
      </c>
      <c r="F20" s="48">
        <f>SUM(F21:F26)</f>
        <v>336658.843139</v>
      </c>
      <c r="G20" s="348">
        <f t="shared" si="0"/>
        <v>0.8657272558853764</v>
      </c>
      <c r="H20" s="348">
        <f t="shared" si="0"/>
        <v>0.8652244747854022</v>
      </c>
    </row>
    <row r="21" spans="1:8" ht="22.5" customHeight="1">
      <c r="A21" s="370"/>
      <c r="B21" s="370" t="str">
        <f>'[1]B61'!B42</f>
        <v>- Thuế giá trị gia tăng</v>
      </c>
      <c r="C21" s="300">
        <v>348480</v>
      </c>
      <c r="D21" s="300">
        <f aca="true" t="shared" si="1" ref="D21:D27">C21</f>
        <v>348480</v>
      </c>
      <c r="E21" s="48">
        <v>265287.247423</v>
      </c>
      <c r="F21" s="48">
        <v>265287.247423</v>
      </c>
      <c r="G21" s="348">
        <f t="shared" si="0"/>
        <v>0.7612696494002525</v>
      </c>
      <c r="H21" s="348">
        <f t="shared" si="0"/>
        <v>0.7612696494002525</v>
      </c>
    </row>
    <row r="22" spans="1:8" ht="22.5" customHeight="1">
      <c r="A22" s="370"/>
      <c r="B22" s="370" t="str">
        <f>'[1]B61'!B43</f>
        <v>- Thuế thu nhập doanh nghiệp</v>
      </c>
      <c r="C22" s="300">
        <v>11100</v>
      </c>
      <c r="D22" s="300">
        <f t="shared" si="1"/>
        <v>11100</v>
      </c>
      <c r="E22" s="48">
        <v>21690.325709999997</v>
      </c>
      <c r="F22" s="48">
        <v>21690.325709999997</v>
      </c>
      <c r="G22" s="348">
        <f t="shared" si="0"/>
        <v>1.954083397297297</v>
      </c>
      <c r="H22" s="348">
        <f t="shared" si="0"/>
        <v>1.954083397297297</v>
      </c>
    </row>
    <row r="23" spans="1:8" ht="22.5" customHeight="1">
      <c r="A23" s="370"/>
      <c r="B23" s="370" t="str">
        <f>'[1]B61'!B44</f>
        <v>- Thuế tiêu thụ đặc biệt</v>
      </c>
      <c r="C23" s="300">
        <v>220</v>
      </c>
      <c r="D23" s="300">
        <f t="shared" si="1"/>
        <v>220</v>
      </c>
      <c r="E23" s="48">
        <v>237.833767</v>
      </c>
      <c r="F23" s="48">
        <v>237.833767</v>
      </c>
      <c r="G23" s="348">
        <f t="shared" si="0"/>
        <v>1.0810625772727271</v>
      </c>
      <c r="H23" s="348">
        <f t="shared" si="0"/>
        <v>1.0810625772727271</v>
      </c>
    </row>
    <row r="24" spans="1:8" ht="22.5" customHeight="1">
      <c r="A24" s="370"/>
      <c r="B24" s="370" t="str">
        <f>'[1]B61'!B46</f>
        <v>- Thuế tài nguyên</v>
      </c>
      <c r="C24" s="300">
        <v>29300</v>
      </c>
      <c r="D24" s="300">
        <f t="shared" si="1"/>
        <v>29300</v>
      </c>
      <c r="E24" s="48">
        <v>47163.438202</v>
      </c>
      <c r="F24" s="48">
        <v>47163.438202</v>
      </c>
      <c r="G24" s="348">
        <f t="shared" si="0"/>
        <v>1.609673658771331</v>
      </c>
      <c r="H24" s="348">
        <f t="shared" si="0"/>
        <v>1.609673658771331</v>
      </c>
    </row>
    <row r="25" spans="1:8" ht="22.5" customHeight="1">
      <c r="A25" s="370"/>
      <c r="B25" s="370" t="str">
        <f>'[1]B61'!B47</f>
        <v> - Thuế môn bài</v>
      </c>
      <c r="C25" s="300">
        <v>0</v>
      </c>
      <c r="D25" s="300">
        <f t="shared" si="1"/>
        <v>0</v>
      </c>
      <c r="E25" s="48">
        <v>94.3</v>
      </c>
      <c r="F25" s="48">
        <v>94.3</v>
      </c>
      <c r="G25" s="348"/>
      <c r="H25" s="348"/>
    </row>
    <row r="26" spans="1:8" ht="22.5" customHeight="1">
      <c r="A26" s="370"/>
      <c r="B26" s="370" t="str">
        <f>'[1]B61'!B48</f>
        <v> - Các khoản thu khác ngoài quốc doanh</v>
      </c>
      <c r="C26" s="300">
        <v>0</v>
      </c>
      <c r="D26" s="300">
        <f t="shared" si="1"/>
        <v>0</v>
      </c>
      <c r="E26" s="48">
        <v>2381.330163</v>
      </c>
      <c r="F26" s="48">
        <v>2185.698037</v>
      </c>
      <c r="G26" s="348"/>
      <c r="H26" s="348"/>
    </row>
    <row r="27" spans="1:8" ht="22.5" customHeight="1">
      <c r="A27" s="305">
        <v>4</v>
      </c>
      <c r="B27" s="370" t="s">
        <v>546</v>
      </c>
      <c r="C27" s="300">
        <v>43000</v>
      </c>
      <c r="D27" s="300">
        <f t="shared" si="1"/>
        <v>43000</v>
      </c>
      <c r="E27" s="48">
        <v>37369.413817</v>
      </c>
      <c r="F27" s="48">
        <v>37363.092138</v>
      </c>
      <c r="G27" s="348">
        <f t="shared" si="0"/>
        <v>0.8690561352790698</v>
      </c>
      <c r="H27" s="348">
        <f t="shared" si="0"/>
        <v>0.8689091194883721</v>
      </c>
    </row>
    <row r="28" spans="1:8" ht="22.5" customHeight="1">
      <c r="A28" s="305">
        <v>5</v>
      </c>
      <c r="B28" s="370" t="s">
        <v>547</v>
      </c>
      <c r="C28" s="300">
        <f>SUM(C29:C30)</f>
        <v>129000</v>
      </c>
      <c r="D28" s="300">
        <f>D29</f>
        <v>48000</v>
      </c>
      <c r="E28" s="48">
        <v>133364.70802999998</v>
      </c>
      <c r="F28" s="48">
        <v>49697.439592</v>
      </c>
      <c r="G28" s="348">
        <f t="shared" si="0"/>
        <v>1.0338349459689922</v>
      </c>
      <c r="H28" s="348">
        <f t="shared" si="0"/>
        <v>1.0353633248333334</v>
      </c>
    </row>
    <row r="29" spans="1:8" ht="31.5">
      <c r="A29" s="305"/>
      <c r="B29" s="371" t="s">
        <v>118</v>
      </c>
      <c r="C29" s="300">
        <v>48000</v>
      </c>
      <c r="D29" s="300">
        <f>C29</f>
        <v>48000</v>
      </c>
      <c r="E29" s="48">
        <v>49697.439592</v>
      </c>
      <c r="F29" s="48">
        <v>49697.439592</v>
      </c>
      <c r="G29" s="348">
        <f t="shared" si="0"/>
        <v>1.0353633248333334</v>
      </c>
      <c r="H29" s="348">
        <f t="shared" si="0"/>
        <v>1.0353633248333334</v>
      </c>
    </row>
    <row r="30" spans="1:8" ht="22.5" customHeight="1">
      <c r="A30" s="305"/>
      <c r="B30" s="371" t="s">
        <v>119</v>
      </c>
      <c r="C30" s="300">
        <v>81000</v>
      </c>
      <c r="D30" s="300"/>
      <c r="E30" s="48">
        <v>83667.268438</v>
      </c>
      <c r="F30" s="48"/>
      <c r="G30" s="348">
        <f t="shared" si="0"/>
        <v>1.0329292399753087</v>
      </c>
      <c r="H30" s="348"/>
    </row>
    <row r="31" spans="1:8" ht="22.5" customHeight="1">
      <c r="A31" s="305">
        <v>6</v>
      </c>
      <c r="B31" s="370" t="s">
        <v>577</v>
      </c>
      <c r="C31" s="300">
        <v>80000</v>
      </c>
      <c r="D31" s="300">
        <f>C31</f>
        <v>80000</v>
      </c>
      <c r="E31" s="48">
        <v>54590.204152</v>
      </c>
      <c r="F31" s="48">
        <v>54590.204152</v>
      </c>
      <c r="G31" s="348">
        <f t="shared" si="0"/>
        <v>0.6823775518999999</v>
      </c>
      <c r="H31" s="348">
        <f t="shared" si="0"/>
        <v>0.6823775518999999</v>
      </c>
    </row>
    <row r="32" spans="1:8" ht="22.5" customHeight="1">
      <c r="A32" s="305">
        <v>7</v>
      </c>
      <c r="B32" s="370" t="s">
        <v>370</v>
      </c>
      <c r="C32" s="300">
        <v>25000</v>
      </c>
      <c r="D32" s="300">
        <f>C34</f>
        <v>25000</v>
      </c>
      <c r="E32" s="48">
        <v>33885.305347</v>
      </c>
      <c r="F32" s="48">
        <v>28227.700689</v>
      </c>
      <c r="G32" s="348">
        <f t="shared" si="0"/>
        <v>1.35541221388</v>
      </c>
      <c r="H32" s="348">
        <f t="shared" si="0"/>
        <v>1.12910802756</v>
      </c>
    </row>
    <row r="33" spans="1:8" ht="22.5" customHeight="1">
      <c r="A33" s="305"/>
      <c r="B33" s="371" t="s">
        <v>448</v>
      </c>
      <c r="C33" s="300"/>
      <c r="D33" s="300"/>
      <c r="E33" s="48">
        <v>5657.604658</v>
      </c>
      <c r="F33" s="48"/>
      <c r="G33" s="348"/>
      <c r="H33" s="348"/>
    </row>
    <row r="34" spans="1:8" ht="22.5" customHeight="1">
      <c r="A34" s="305"/>
      <c r="B34" s="371" t="s">
        <v>449</v>
      </c>
      <c r="C34" s="645">
        <v>25000</v>
      </c>
      <c r="D34" s="300"/>
      <c r="E34" s="48">
        <v>6944.81184</v>
      </c>
      <c r="F34" s="48">
        <v>6944.81184</v>
      </c>
      <c r="G34" s="348">
        <f t="shared" si="0"/>
        <v>0.27779247360000003</v>
      </c>
      <c r="H34" s="348"/>
    </row>
    <row r="35" spans="1:8" ht="22.5" customHeight="1">
      <c r="A35" s="305"/>
      <c r="B35" s="371" t="s">
        <v>450</v>
      </c>
      <c r="C35" s="645"/>
      <c r="D35" s="300"/>
      <c r="E35" s="48">
        <v>14893.268509</v>
      </c>
      <c r="F35" s="48">
        <v>14893.268509</v>
      </c>
      <c r="G35" s="348"/>
      <c r="H35" s="348"/>
    </row>
    <row r="36" spans="1:8" ht="22.5" customHeight="1">
      <c r="A36" s="305"/>
      <c r="B36" s="371" t="s">
        <v>451</v>
      </c>
      <c r="C36" s="645"/>
      <c r="D36" s="300"/>
      <c r="E36" s="48">
        <v>6389.62034</v>
      </c>
      <c r="F36" s="48">
        <v>6389.62034</v>
      </c>
      <c r="G36" s="348"/>
      <c r="H36" s="348"/>
    </row>
    <row r="37" spans="1:8" ht="22.5" customHeight="1">
      <c r="A37" s="305">
        <v>8</v>
      </c>
      <c r="B37" s="370" t="s">
        <v>564</v>
      </c>
      <c r="C37" s="300"/>
      <c r="D37" s="300"/>
      <c r="E37" s="48"/>
      <c r="F37" s="48"/>
      <c r="G37" s="348"/>
      <c r="H37" s="348"/>
    </row>
    <row r="38" spans="1:8" ht="22.5" customHeight="1">
      <c r="A38" s="305">
        <v>9</v>
      </c>
      <c r="B38" s="370" t="s">
        <v>565</v>
      </c>
      <c r="C38" s="300">
        <v>1000</v>
      </c>
      <c r="D38" s="300">
        <f aca="true" t="shared" si="2" ref="D38:D47">C38</f>
        <v>1000</v>
      </c>
      <c r="E38" s="48">
        <v>2371.507433</v>
      </c>
      <c r="F38" s="48">
        <v>2371.507433</v>
      </c>
      <c r="G38" s="348">
        <f t="shared" si="0"/>
        <v>2.371507433</v>
      </c>
      <c r="H38" s="348">
        <f t="shared" si="0"/>
        <v>2.371507433</v>
      </c>
    </row>
    <row r="39" spans="1:8" ht="22.5" customHeight="1">
      <c r="A39" s="305">
        <v>10</v>
      </c>
      <c r="B39" s="370" t="s">
        <v>371</v>
      </c>
      <c r="C39" s="300">
        <v>22000</v>
      </c>
      <c r="D39" s="300">
        <f t="shared" si="2"/>
        <v>22000</v>
      </c>
      <c r="E39" s="48">
        <v>27229.219323999998</v>
      </c>
      <c r="F39" s="48">
        <v>27229.219323999998</v>
      </c>
      <c r="G39" s="348">
        <f t="shared" si="0"/>
        <v>1.2376917874545454</v>
      </c>
      <c r="H39" s="348">
        <f t="shared" si="0"/>
        <v>1.2376917874545454</v>
      </c>
    </row>
    <row r="40" spans="1:8" ht="22.5" customHeight="1">
      <c r="A40" s="305">
        <v>11</v>
      </c>
      <c r="B40" s="370" t="s">
        <v>372</v>
      </c>
      <c r="C40" s="300">
        <v>60000</v>
      </c>
      <c r="D40" s="300">
        <f t="shared" si="2"/>
        <v>60000</v>
      </c>
      <c r="E40" s="48">
        <v>123242.338632</v>
      </c>
      <c r="F40" s="48">
        <v>123242.338632</v>
      </c>
      <c r="G40" s="348">
        <f t="shared" si="0"/>
        <v>2.0540389772</v>
      </c>
      <c r="H40" s="348">
        <f t="shared" si="0"/>
        <v>2.0540389772</v>
      </c>
    </row>
    <row r="41" spans="1:8" ht="15.75">
      <c r="A41" s="305">
        <v>12</v>
      </c>
      <c r="B41" s="370" t="s">
        <v>373</v>
      </c>
      <c r="C41" s="300">
        <v>500</v>
      </c>
      <c r="D41" s="300">
        <f t="shared" si="2"/>
        <v>500</v>
      </c>
      <c r="E41" s="48">
        <v>783.3</v>
      </c>
      <c r="F41" s="48">
        <v>783.3</v>
      </c>
      <c r="G41" s="348">
        <f t="shared" si="0"/>
        <v>1.5666</v>
      </c>
      <c r="H41" s="348">
        <f t="shared" si="0"/>
        <v>1.5666</v>
      </c>
    </row>
    <row r="42" spans="1:8" ht="22.5" customHeight="1">
      <c r="A42" s="305">
        <v>13</v>
      </c>
      <c r="B42" s="370" t="s">
        <v>374</v>
      </c>
      <c r="C42" s="300">
        <v>17000</v>
      </c>
      <c r="D42" s="300">
        <f t="shared" si="2"/>
        <v>17000</v>
      </c>
      <c r="E42" s="48">
        <f>SUM(E43:E46)</f>
        <v>23352.846653</v>
      </c>
      <c r="F42" s="48">
        <f>SUM(F43:F46)</f>
        <v>23352.846653</v>
      </c>
      <c r="G42" s="348">
        <f t="shared" si="0"/>
        <v>1.3736968619411765</v>
      </c>
      <c r="H42" s="348">
        <f t="shared" si="0"/>
        <v>1.3736968619411765</v>
      </c>
    </row>
    <row r="43" spans="1:8" ht="22.5" customHeight="1">
      <c r="A43" s="370"/>
      <c r="B43" s="370" t="s">
        <v>395</v>
      </c>
      <c r="C43" s="300">
        <v>7500</v>
      </c>
      <c r="D43" s="300">
        <f t="shared" si="2"/>
        <v>7500</v>
      </c>
      <c r="E43" s="48">
        <v>9248.784835</v>
      </c>
      <c r="F43" s="48">
        <v>9248.784835</v>
      </c>
      <c r="G43" s="348"/>
      <c r="H43" s="348">
        <f t="shared" si="0"/>
        <v>1.2331713113333334</v>
      </c>
    </row>
    <row r="44" spans="1:8" ht="22.5" customHeight="1">
      <c r="A44" s="370"/>
      <c r="B44" s="370" t="s">
        <v>397</v>
      </c>
      <c r="C44" s="300">
        <v>230</v>
      </c>
      <c r="D44" s="300">
        <f t="shared" si="2"/>
        <v>230</v>
      </c>
      <c r="E44" s="48">
        <v>653.343195</v>
      </c>
      <c r="F44" s="48">
        <v>653.343195</v>
      </c>
      <c r="G44" s="348"/>
      <c r="H44" s="348"/>
    </row>
    <row r="45" spans="1:8" ht="22.5" customHeight="1">
      <c r="A45" s="370"/>
      <c r="B45" s="371" t="s">
        <v>452</v>
      </c>
      <c r="C45" s="300"/>
      <c r="D45" s="300">
        <f t="shared" si="2"/>
        <v>0</v>
      </c>
      <c r="E45" s="48">
        <v>1357.142219</v>
      </c>
      <c r="F45" s="48">
        <v>1357.142219</v>
      </c>
      <c r="G45" s="348"/>
      <c r="H45" s="348"/>
    </row>
    <row r="46" spans="1:8" ht="22.5" customHeight="1">
      <c r="A46" s="370"/>
      <c r="B46" s="371" t="s">
        <v>398</v>
      </c>
      <c r="C46" s="300">
        <v>9270</v>
      </c>
      <c r="D46" s="300">
        <f t="shared" si="2"/>
        <v>9270</v>
      </c>
      <c r="E46" s="48">
        <v>12093.576404</v>
      </c>
      <c r="F46" s="48">
        <v>12093.576404</v>
      </c>
      <c r="G46" s="348"/>
      <c r="H46" s="348"/>
    </row>
    <row r="47" spans="1:8" ht="22.5" customHeight="1">
      <c r="A47" s="305">
        <v>14</v>
      </c>
      <c r="B47" s="370" t="s">
        <v>566</v>
      </c>
      <c r="C47" s="300">
        <v>10000</v>
      </c>
      <c r="D47" s="300">
        <f t="shared" si="2"/>
        <v>10000</v>
      </c>
      <c r="E47" s="48">
        <v>6989.2988000000005</v>
      </c>
      <c r="F47" s="48">
        <v>6989.2988000000005</v>
      </c>
      <c r="G47" s="348">
        <f t="shared" si="0"/>
        <v>0.69892988</v>
      </c>
      <c r="H47" s="348">
        <f t="shared" si="0"/>
        <v>0.69892988</v>
      </c>
    </row>
    <row r="48" spans="1:8" ht="22.5" customHeight="1">
      <c r="A48" s="305">
        <v>15</v>
      </c>
      <c r="B48" s="370" t="s">
        <v>567</v>
      </c>
      <c r="C48" s="300">
        <v>13500</v>
      </c>
      <c r="D48" s="300">
        <v>5000</v>
      </c>
      <c r="E48" s="48">
        <v>42002.862809</v>
      </c>
      <c r="F48" s="48">
        <v>26622.886767999997</v>
      </c>
      <c r="G48" s="348">
        <f t="shared" si="0"/>
        <v>3.111323171037037</v>
      </c>
      <c r="H48" s="348">
        <f t="shared" si="0"/>
        <v>5.3245773536</v>
      </c>
    </row>
    <row r="49" spans="1:8" ht="22.5" customHeight="1">
      <c r="A49" s="305">
        <v>16</v>
      </c>
      <c r="B49" s="370" t="s">
        <v>375</v>
      </c>
      <c r="C49" s="300">
        <v>3800</v>
      </c>
      <c r="D49" s="300">
        <f>C49</f>
        <v>3800</v>
      </c>
      <c r="E49" s="48">
        <v>3796.030826</v>
      </c>
      <c r="F49" s="48">
        <v>3796.030826</v>
      </c>
      <c r="G49" s="348">
        <f t="shared" si="0"/>
        <v>0.9989554805263159</v>
      </c>
      <c r="H49" s="348">
        <f t="shared" si="0"/>
        <v>0.9989554805263159</v>
      </c>
    </row>
    <row r="50" spans="1:8" ht="22.5" customHeight="1" hidden="1">
      <c r="A50" s="305">
        <v>17</v>
      </c>
      <c r="B50" s="370" t="s">
        <v>376</v>
      </c>
      <c r="C50" s="300"/>
      <c r="D50" s="300"/>
      <c r="E50" s="48"/>
      <c r="F50" s="48"/>
      <c r="G50" s="348"/>
      <c r="H50" s="348"/>
    </row>
    <row r="51" spans="1:8" ht="47.25" hidden="1">
      <c r="A51" s="305">
        <v>18</v>
      </c>
      <c r="B51" s="370" t="s">
        <v>377</v>
      </c>
      <c r="C51" s="300"/>
      <c r="D51" s="300"/>
      <c r="E51" s="48"/>
      <c r="F51" s="48"/>
      <c r="G51" s="348"/>
      <c r="H51" s="348"/>
    </row>
    <row r="52" spans="1:8" ht="22.5" customHeight="1" hidden="1">
      <c r="A52" s="305">
        <v>19</v>
      </c>
      <c r="B52" s="370" t="s">
        <v>378</v>
      </c>
      <c r="C52" s="300"/>
      <c r="D52" s="300"/>
      <c r="E52" s="48"/>
      <c r="F52" s="48"/>
      <c r="G52" s="348"/>
      <c r="H52" s="348"/>
    </row>
    <row r="53" spans="1:8" s="349" customFormat="1" ht="22.5" customHeight="1">
      <c r="A53" s="303" t="s">
        <v>50</v>
      </c>
      <c r="B53" s="368" t="s">
        <v>379</v>
      </c>
      <c r="C53" s="369"/>
      <c r="D53" s="369"/>
      <c r="E53" s="304"/>
      <c r="F53" s="304"/>
      <c r="G53" s="347"/>
      <c r="H53" s="347"/>
    </row>
    <row r="54" spans="1:8" s="349" customFormat="1" ht="22.5" customHeight="1">
      <c r="A54" s="303" t="s">
        <v>51</v>
      </c>
      <c r="B54" s="368" t="s">
        <v>380</v>
      </c>
      <c r="C54" s="369">
        <f>SUM(C55:C60)</f>
        <v>15500</v>
      </c>
      <c r="D54" s="369">
        <f>SUM(D55:D60)</f>
        <v>0</v>
      </c>
      <c r="E54" s="304">
        <f>SUM(E55:E60)</f>
        <v>16070.300778</v>
      </c>
      <c r="F54" s="304">
        <f>SUM(F55:F60)</f>
        <v>0</v>
      </c>
      <c r="G54" s="347">
        <f t="shared" si="0"/>
        <v>1.0367935985806451</v>
      </c>
      <c r="H54" s="347"/>
    </row>
    <row r="55" spans="1:8" ht="22.5" customHeight="1">
      <c r="A55" s="305">
        <v>1</v>
      </c>
      <c r="B55" s="370" t="s">
        <v>288</v>
      </c>
      <c r="C55" s="300"/>
      <c r="D55" s="300"/>
      <c r="E55" s="48"/>
      <c r="F55" s="48"/>
      <c r="G55" s="348"/>
      <c r="H55" s="348"/>
    </row>
    <row r="56" spans="1:8" ht="22.5" customHeight="1">
      <c r="A56" s="305">
        <v>2</v>
      </c>
      <c r="B56" s="370" t="s">
        <v>568</v>
      </c>
      <c r="C56" s="300">
        <v>500</v>
      </c>
      <c r="D56" s="300"/>
      <c r="E56" s="48">
        <v>1574.620421</v>
      </c>
      <c r="F56" s="48"/>
      <c r="G56" s="348">
        <f t="shared" si="0"/>
        <v>3.149240842</v>
      </c>
      <c r="H56" s="348"/>
    </row>
    <row r="57" spans="1:8" ht="22.5" customHeight="1">
      <c r="A57" s="305">
        <v>3</v>
      </c>
      <c r="B57" s="370" t="s">
        <v>381</v>
      </c>
      <c r="C57" s="300"/>
      <c r="D57" s="300"/>
      <c r="E57" s="48">
        <v>9.062</v>
      </c>
      <c r="F57" s="48"/>
      <c r="G57" s="348"/>
      <c r="H57" s="348"/>
    </row>
    <row r="58" spans="1:8" ht="35.25" customHeight="1">
      <c r="A58" s="305">
        <v>4</v>
      </c>
      <c r="B58" s="370" t="s">
        <v>112</v>
      </c>
      <c r="C58" s="300"/>
      <c r="D58" s="300"/>
      <c r="E58" s="48"/>
      <c r="F58" s="48"/>
      <c r="G58" s="348"/>
      <c r="H58" s="348"/>
    </row>
    <row r="59" spans="1:8" ht="22.5" customHeight="1">
      <c r="A59" s="305">
        <v>5</v>
      </c>
      <c r="B59" s="370" t="s">
        <v>113</v>
      </c>
      <c r="C59" s="300">
        <v>15000</v>
      </c>
      <c r="D59" s="300"/>
      <c r="E59" s="48">
        <v>14357.785535</v>
      </c>
      <c r="F59" s="48"/>
      <c r="G59" s="348">
        <f t="shared" si="0"/>
        <v>0.9571857023333334</v>
      </c>
      <c r="H59" s="348"/>
    </row>
    <row r="60" spans="1:8" ht="22.5" customHeight="1">
      <c r="A60" s="305">
        <v>6</v>
      </c>
      <c r="B60" s="370" t="s">
        <v>569</v>
      </c>
      <c r="C60" s="300"/>
      <c r="D60" s="300"/>
      <c r="E60" s="48">
        <v>128.832822</v>
      </c>
      <c r="F60" s="48"/>
      <c r="G60" s="348"/>
      <c r="H60" s="348"/>
    </row>
    <row r="61" spans="1:8" s="349" customFormat="1" ht="22.5" customHeight="1">
      <c r="A61" s="303" t="s">
        <v>52</v>
      </c>
      <c r="B61" s="368" t="s">
        <v>570</v>
      </c>
      <c r="C61" s="369"/>
      <c r="D61" s="369"/>
      <c r="E61" s="304">
        <v>19372.441975</v>
      </c>
      <c r="F61" s="304">
        <v>19372.441975</v>
      </c>
      <c r="G61" s="347"/>
      <c r="H61" s="347"/>
    </row>
    <row r="62" spans="1:8" s="349" customFormat="1" ht="22.5" customHeight="1">
      <c r="A62" s="303" t="s">
        <v>66</v>
      </c>
      <c r="B62" s="368" t="str">
        <f>'[1]B61'!B105</f>
        <v>Các khoản huy động, đóng góp</v>
      </c>
      <c r="C62" s="369"/>
      <c r="D62" s="369"/>
      <c r="E62" s="304">
        <v>14170.317762</v>
      </c>
      <c r="F62" s="304">
        <v>14170.317762</v>
      </c>
      <c r="G62" s="347"/>
      <c r="H62" s="347"/>
    </row>
    <row r="63" spans="1:8" s="349" customFormat="1" ht="22.5" customHeight="1">
      <c r="A63" s="303" t="s">
        <v>46</v>
      </c>
      <c r="B63" s="368" t="s">
        <v>114</v>
      </c>
      <c r="C63" s="369"/>
      <c r="D63" s="369"/>
      <c r="E63" s="304"/>
      <c r="F63" s="304"/>
      <c r="G63" s="347"/>
      <c r="H63" s="347"/>
    </row>
    <row r="64" spans="1:8" s="349" customFormat="1" ht="22.5" customHeight="1">
      <c r="A64" s="303" t="s">
        <v>53</v>
      </c>
      <c r="B64" s="368" t="s">
        <v>115</v>
      </c>
      <c r="C64" s="369"/>
      <c r="D64" s="369"/>
      <c r="E64" s="304">
        <v>3688.605115</v>
      </c>
      <c r="F64" s="304">
        <v>3688.605115</v>
      </c>
      <c r="G64" s="347"/>
      <c r="H64" s="347"/>
    </row>
    <row r="65" spans="1:8" s="349" customFormat="1" ht="31.5">
      <c r="A65" s="303" t="s">
        <v>56</v>
      </c>
      <c r="B65" s="368" t="s">
        <v>116</v>
      </c>
      <c r="C65" s="369"/>
      <c r="D65" s="369"/>
      <c r="E65" s="304">
        <v>1491470.7186560002</v>
      </c>
      <c r="F65" s="304">
        <v>1491470.7186560002</v>
      </c>
      <c r="G65" s="347"/>
      <c r="H65" s="347"/>
    </row>
    <row r="66" spans="1:8" s="349" customFormat="1" ht="34.5" customHeight="1">
      <c r="A66" s="372" t="s">
        <v>61</v>
      </c>
      <c r="B66" s="373" t="s">
        <v>453</v>
      </c>
      <c r="C66" s="374"/>
      <c r="D66" s="374"/>
      <c r="E66" s="318">
        <v>173880.067562</v>
      </c>
      <c r="F66" s="318">
        <v>54246.742815</v>
      </c>
      <c r="G66" s="375"/>
      <c r="H66" s="375"/>
    </row>
    <row r="67" ht="21" customHeight="1">
      <c r="A67" s="376"/>
    </row>
    <row r="68" spans="1:8" ht="36.75" customHeight="1">
      <c r="A68" s="646"/>
      <c r="B68" s="646"/>
      <c r="C68" s="646"/>
      <c r="D68" s="646"/>
      <c r="E68" s="646"/>
      <c r="F68" s="646"/>
      <c r="G68" s="646"/>
      <c r="H68" s="646"/>
    </row>
    <row r="69" spans="1:8" ht="36.75" customHeight="1">
      <c r="A69" s="646"/>
      <c r="B69" s="646"/>
      <c r="C69" s="646"/>
      <c r="D69" s="646"/>
      <c r="E69" s="646"/>
      <c r="F69" s="646"/>
      <c r="G69" s="646"/>
      <c r="H69" s="646"/>
    </row>
    <row r="70" spans="1:8" ht="49.5" customHeight="1">
      <c r="A70" s="646"/>
      <c r="B70" s="646"/>
      <c r="C70" s="646"/>
      <c r="D70" s="646"/>
      <c r="E70" s="646"/>
      <c r="F70" s="646"/>
      <c r="G70" s="646"/>
      <c r="H70" s="646"/>
    </row>
    <row r="71" spans="1:8" ht="49.5" customHeight="1">
      <c r="A71" s="646"/>
      <c r="B71" s="646"/>
      <c r="C71" s="646"/>
      <c r="D71" s="646"/>
      <c r="E71" s="646"/>
      <c r="F71" s="646"/>
      <c r="G71" s="646"/>
      <c r="H71" s="646"/>
    </row>
    <row r="72" spans="1:8" ht="69.75" customHeight="1">
      <c r="A72" s="646"/>
      <c r="B72" s="646"/>
      <c r="C72" s="646"/>
      <c r="D72" s="646"/>
      <c r="E72" s="646"/>
      <c r="F72" s="646"/>
      <c r="G72" s="646"/>
      <c r="H72" s="646"/>
    </row>
  </sheetData>
  <sheetProtection/>
  <mergeCells count="14">
    <mergeCell ref="A2:H2"/>
    <mergeCell ref="A3:H3"/>
    <mergeCell ref="F4:H4"/>
    <mergeCell ref="A5:A6"/>
    <mergeCell ref="B5:B6"/>
    <mergeCell ref="C5:D5"/>
    <mergeCell ref="E5:F5"/>
    <mergeCell ref="G5:H5"/>
    <mergeCell ref="C34:C36"/>
    <mergeCell ref="A68:H68"/>
    <mergeCell ref="A69:H69"/>
    <mergeCell ref="A70:H70"/>
    <mergeCell ref="A71:H71"/>
    <mergeCell ref="A72:H72"/>
  </mergeCells>
  <printOptions horizontalCentered="1"/>
  <pageMargins left="0" right="0" top="0.34" bottom="0" header="0.33" footer="0.511811023622047"/>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H80"/>
  <sheetViews>
    <sheetView zoomScalePageLayoutView="0" workbookViewId="0" topLeftCell="A1">
      <pane xSplit="2" ySplit="7" topLeftCell="C26" activePane="bottomRight" state="frozen"/>
      <selection pane="topLeft" activeCell="A1" sqref="A1"/>
      <selection pane="topRight" activeCell="C1" sqref="C1"/>
      <selection pane="bottomLeft" activeCell="A7" sqref="A7"/>
      <selection pane="bottomRight" activeCell="B14" sqref="B14"/>
    </sheetView>
  </sheetViews>
  <sheetFormatPr defaultColWidth="9.125" defaultRowHeight="14.25"/>
  <cols>
    <col min="1" max="1" width="6.375" style="169" customWidth="1"/>
    <col min="2" max="2" width="67.375" style="169" customWidth="1"/>
    <col min="3" max="3" width="14.00390625" style="169" customWidth="1"/>
    <col min="4" max="4" width="14.875" style="169" customWidth="1"/>
    <col min="5" max="5" width="14.75390625" style="169" customWidth="1"/>
    <col min="6" max="6" width="16.375" style="169" customWidth="1"/>
    <col min="7" max="7" width="10.125" style="169" bestFit="1" customWidth="1"/>
    <col min="8" max="16384" width="9.125" style="169" customWidth="1"/>
  </cols>
  <sheetData>
    <row r="1" ht="15.75">
      <c r="E1" s="377" t="s">
        <v>320</v>
      </c>
    </row>
    <row r="2" spans="1:5" ht="39.75" customHeight="1">
      <c r="A2" s="630" t="s">
        <v>646</v>
      </c>
      <c r="B2" s="630"/>
      <c r="C2" s="630"/>
      <c r="D2" s="630"/>
      <c r="E2" s="630"/>
    </row>
    <row r="3" spans="1:8" ht="18.75">
      <c r="A3" s="618" t="s">
        <v>680</v>
      </c>
      <c r="B3" s="618"/>
      <c r="C3" s="618"/>
      <c r="D3" s="618"/>
      <c r="E3" s="618"/>
      <c r="F3" s="558"/>
      <c r="G3" s="558"/>
      <c r="H3" s="558"/>
    </row>
    <row r="4" spans="3:5" ht="15.75">
      <c r="C4" s="170"/>
      <c r="E4" s="321" t="s">
        <v>48</v>
      </c>
    </row>
    <row r="5" spans="1:5" ht="22.5" customHeight="1">
      <c r="A5" s="649" t="s">
        <v>43</v>
      </c>
      <c r="B5" s="649" t="s">
        <v>81</v>
      </c>
      <c r="C5" s="651" t="s">
        <v>267</v>
      </c>
      <c r="D5" s="649" t="s">
        <v>4</v>
      </c>
      <c r="E5" s="651" t="s">
        <v>131</v>
      </c>
    </row>
    <row r="6" spans="1:5" ht="41.25" customHeight="1">
      <c r="A6" s="650"/>
      <c r="B6" s="650"/>
      <c r="C6" s="652"/>
      <c r="D6" s="650"/>
      <c r="E6" s="652"/>
    </row>
    <row r="7" spans="1:5" ht="15.75">
      <c r="A7" s="173">
        <v>1</v>
      </c>
      <c r="B7" s="173">
        <v>2</v>
      </c>
      <c r="C7" s="173">
        <v>3</v>
      </c>
      <c r="D7" s="173">
        <v>4</v>
      </c>
      <c r="E7" s="173" t="s">
        <v>268</v>
      </c>
    </row>
    <row r="8" spans="1:7" ht="24" customHeight="1">
      <c r="A8" s="44"/>
      <c r="B8" s="45" t="s">
        <v>12</v>
      </c>
      <c r="C8" s="174">
        <f>SUM(C9,C25)</f>
        <v>7652022</v>
      </c>
      <c r="D8" s="175">
        <f>SUM(D9,D25,D79)</f>
        <v>10329154.113309002</v>
      </c>
      <c r="E8" s="176">
        <f aca="true" t="shared" si="0" ref="E8:E13">D8/C8</f>
        <v>1.3498594375851247</v>
      </c>
      <c r="F8" s="244"/>
      <c r="G8" s="244"/>
    </row>
    <row r="9" spans="1:5" ht="15.75">
      <c r="A9" s="44" t="s">
        <v>45</v>
      </c>
      <c r="B9" s="45" t="s">
        <v>13</v>
      </c>
      <c r="C9" s="174">
        <f>SUM(C10,C17,C21,C22:C24)</f>
        <v>6486538</v>
      </c>
      <c r="D9" s="175">
        <f>SUM(D10,D17,D21,D22:D24)</f>
        <v>7019952.706678</v>
      </c>
      <c r="E9" s="176">
        <f t="shared" si="0"/>
        <v>1.0822341142036014</v>
      </c>
    </row>
    <row r="10" spans="1:5" ht="15.75">
      <c r="A10" s="44" t="s">
        <v>54</v>
      </c>
      <c r="B10" s="45" t="s">
        <v>561</v>
      </c>
      <c r="C10" s="174">
        <f>SUM(C11:C16)</f>
        <v>607852</v>
      </c>
      <c r="D10" s="175">
        <f>SUM(D11:D16)</f>
        <v>667664.640428</v>
      </c>
      <c r="E10" s="176">
        <f t="shared" si="0"/>
        <v>1.0984000059685581</v>
      </c>
    </row>
    <row r="11" spans="1:5" ht="15.75">
      <c r="A11" s="42">
        <v>1</v>
      </c>
      <c r="B11" s="43" t="s">
        <v>123</v>
      </c>
      <c r="C11" s="177">
        <v>530852</v>
      </c>
      <c r="D11" s="178">
        <v>509360.54278</v>
      </c>
      <c r="E11" s="179">
        <f t="shared" si="0"/>
        <v>0.9595151620037223</v>
      </c>
    </row>
    <row r="12" spans="1:5" ht="15.75">
      <c r="A12" s="42">
        <v>2</v>
      </c>
      <c r="B12" s="43" t="s">
        <v>124</v>
      </c>
      <c r="C12" s="177">
        <v>60000</v>
      </c>
      <c r="D12" s="178">
        <v>87688.521885</v>
      </c>
      <c r="E12" s="179">
        <f t="shared" si="0"/>
        <v>1.4614753647499998</v>
      </c>
    </row>
    <row r="13" spans="1:5" ht="15.75">
      <c r="A13" s="42">
        <v>3</v>
      </c>
      <c r="B13" s="43" t="s">
        <v>127</v>
      </c>
      <c r="C13" s="177">
        <v>17000</v>
      </c>
      <c r="D13" s="178">
        <v>13489.711</v>
      </c>
      <c r="E13" s="179">
        <f t="shared" si="0"/>
        <v>0.7935124117647059</v>
      </c>
    </row>
    <row r="14" spans="1:5" ht="15.75">
      <c r="A14" s="42">
        <v>4</v>
      </c>
      <c r="B14" s="43" t="s">
        <v>128</v>
      </c>
      <c r="C14" s="177"/>
      <c r="D14" s="178">
        <v>17206.196112</v>
      </c>
      <c r="E14" s="177"/>
    </row>
    <row r="15" spans="1:5" ht="15.75">
      <c r="A15" s="42">
        <v>5</v>
      </c>
      <c r="B15" s="43" t="s">
        <v>125</v>
      </c>
      <c r="C15" s="177"/>
      <c r="D15" s="178">
        <v>37569.668651</v>
      </c>
      <c r="E15" s="177"/>
    </row>
    <row r="16" spans="1:5" ht="15.75">
      <c r="A16" s="42">
        <v>6</v>
      </c>
      <c r="B16" s="43" t="s">
        <v>126</v>
      </c>
      <c r="C16" s="177"/>
      <c r="D16" s="178">
        <v>2350</v>
      </c>
      <c r="E16" s="177"/>
    </row>
    <row r="17" spans="1:5" ht="15.75">
      <c r="A17" s="44" t="s">
        <v>50</v>
      </c>
      <c r="B17" s="45" t="s">
        <v>58</v>
      </c>
      <c r="C17" s="174">
        <v>5727460</v>
      </c>
      <c r="D17" s="175">
        <v>6349606.838627</v>
      </c>
      <c r="E17" s="176">
        <f>D17/C17</f>
        <v>1.1086252612199823</v>
      </c>
    </row>
    <row r="18" spans="1:5" ht="15.75">
      <c r="A18" s="42"/>
      <c r="B18" s="46" t="s">
        <v>69</v>
      </c>
      <c r="C18" s="177"/>
      <c r="D18" s="178"/>
      <c r="E18" s="177"/>
    </row>
    <row r="19" spans="1:5" ht="15.75">
      <c r="A19" s="42">
        <v>1</v>
      </c>
      <c r="B19" s="46" t="s">
        <v>572</v>
      </c>
      <c r="C19" s="180">
        <v>2813702</v>
      </c>
      <c r="D19" s="178">
        <v>3150843.953715</v>
      </c>
      <c r="E19" s="179">
        <f>D19/C19</f>
        <v>1.1198214856139703</v>
      </c>
    </row>
    <row r="20" spans="1:5" ht="15.75">
      <c r="A20" s="42">
        <v>2</v>
      </c>
      <c r="B20" s="46" t="s">
        <v>573</v>
      </c>
      <c r="C20" s="180">
        <v>12550</v>
      </c>
      <c r="D20" s="178">
        <v>14413.096657</v>
      </c>
      <c r="E20" s="179">
        <f>D20/C20</f>
        <v>1.1484539168924304</v>
      </c>
    </row>
    <row r="21" spans="1:5" ht="15.75">
      <c r="A21" s="44" t="s">
        <v>51</v>
      </c>
      <c r="B21" s="45" t="s">
        <v>59</v>
      </c>
      <c r="C21" s="174">
        <v>3817</v>
      </c>
      <c r="D21" s="175">
        <v>1681.227623</v>
      </c>
      <c r="E21" s="176">
        <f>D21/C21</f>
        <v>0.4404578525019649</v>
      </c>
    </row>
    <row r="22" spans="1:5" ht="15.75">
      <c r="A22" s="44" t="s">
        <v>52</v>
      </c>
      <c r="B22" s="45" t="s">
        <v>539</v>
      </c>
      <c r="C22" s="174">
        <v>1000</v>
      </c>
      <c r="D22" s="175">
        <v>1000</v>
      </c>
      <c r="E22" s="176">
        <f>D22/C22</f>
        <v>1</v>
      </c>
    </row>
    <row r="23" spans="1:5" ht="15.75">
      <c r="A23" s="44" t="s">
        <v>66</v>
      </c>
      <c r="B23" s="45" t="s">
        <v>540</v>
      </c>
      <c r="C23" s="174">
        <v>132290</v>
      </c>
      <c r="D23" s="178"/>
      <c r="E23" s="177"/>
    </row>
    <row r="24" spans="1:5" ht="15.75">
      <c r="A24" s="44" t="s">
        <v>575</v>
      </c>
      <c r="B24" s="45" t="s">
        <v>60</v>
      </c>
      <c r="C24" s="174">
        <v>14119</v>
      </c>
      <c r="D24" s="178"/>
      <c r="E24" s="177"/>
    </row>
    <row r="25" spans="1:5" ht="15.75">
      <c r="A25" s="44" t="s">
        <v>46</v>
      </c>
      <c r="B25" s="45" t="s">
        <v>576</v>
      </c>
      <c r="C25" s="174">
        <f>SUM(C26,C47)</f>
        <v>1165484</v>
      </c>
      <c r="D25" s="175">
        <f>SUM(D26,D47)</f>
        <v>1537469.486893</v>
      </c>
      <c r="E25" s="176">
        <f>D25/C25</f>
        <v>1.3191682484641574</v>
      </c>
    </row>
    <row r="26" spans="1:5" ht="15.75">
      <c r="A26" s="44" t="s">
        <v>54</v>
      </c>
      <c r="B26" s="45" t="s">
        <v>542</v>
      </c>
      <c r="C26" s="174">
        <f>SUM(C29,C39,C40,C45:C45,C46)</f>
        <v>544519</v>
      </c>
      <c r="D26" s="175">
        <f>SUM(D29,D39,D40,D45:D45,D46)</f>
        <v>544571.690136</v>
      </c>
      <c r="E26" s="176">
        <f>SUM(E29,E39,E40,E45:E45,E46)</f>
        <v>1.9708036940857716</v>
      </c>
    </row>
    <row r="27" spans="1:5" ht="15.75">
      <c r="A27" s="44"/>
      <c r="B27" s="181" t="s">
        <v>601</v>
      </c>
      <c r="C27" s="174">
        <f>SUM(C31,C34,C41,C46)</f>
        <v>142000</v>
      </c>
      <c r="D27" s="175">
        <f>SUM(D31,D34,D41,D46)</f>
        <v>410608.759599</v>
      </c>
      <c r="E27" s="176"/>
    </row>
    <row r="28" spans="1:5" ht="15.75">
      <c r="A28" s="44"/>
      <c r="B28" s="181" t="s">
        <v>602</v>
      </c>
      <c r="C28" s="174">
        <f>SUM(C32,C35,C36,C37,C38,C39,C44,C45)</f>
        <v>58300</v>
      </c>
      <c r="D28" s="175">
        <f>SUM(D32,D35,D36,D37,D38,D39,D44,D45)</f>
        <v>133962.930537</v>
      </c>
      <c r="E28" s="176"/>
    </row>
    <row r="29" spans="1:5" ht="15.75">
      <c r="A29" s="44">
        <v>1</v>
      </c>
      <c r="B29" s="182" t="s">
        <v>270</v>
      </c>
      <c r="C29" s="174">
        <v>344219</v>
      </c>
      <c r="D29" s="175">
        <f>SUM(D30,D33,D36,D37,D38)</f>
        <v>357071.17537799996</v>
      </c>
      <c r="E29" s="179">
        <f>D29/C29</f>
        <v>1.0373372050293561</v>
      </c>
    </row>
    <row r="30" spans="1:5" ht="15.75">
      <c r="A30" s="22" t="s">
        <v>582</v>
      </c>
      <c r="B30" s="182" t="s">
        <v>583</v>
      </c>
      <c r="C30" s="174">
        <f>SUM(C31:C32)</f>
        <v>0</v>
      </c>
      <c r="D30" s="175">
        <f>SUM(D31:D32)</f>
        <v>203501.230249</v>
      </c>
      <c r="E30" s="177"/>
    </row>
    <row r="31" spans="1:5" ht="15.75">
      <c r="A31" s="183"/>
      <c r="B31" s="181" t="s">
        <v>601</v>
      </c>
      <c r="C31" s="177"/>
      <c r="D31" s="178">
        <f>119238.777903+34184.194202</f>
        <v>153422.972105</v>
      </c>
      <c r="E31" s="177"/>
    </row>
    <row r="32" spans="1:5" ht="15.75">
      <c r="A32" s="183"/>
      <c r="B32" s="181" t="s">
        <v>602</v>
      </c>
      <c r="C32" s="177"/>
      <c r="D32" s="178">
        <f>12623.23087+37006.530774+448.4965</f>
        <v>50078.258144</v>
      </c>
      <c r="E32" s="177"/>
    </row>
    <row r="33" spans="1:5" ht="15.75">
      <c r="A33" s="22" t="s">
        <v>584</v>
      </c>
      <c r="B33" s="20" t="s">
        <v>585</v>
      </c>
      <c r="C33" s="174">
        <f>SUM(C34:C35)</f>
        <v>0</v>
      </c>
      <c r="D33" s="175">
        <f>SUM(D34:D35)</f>
        <v>151438.319936</v>
      </c>
      <c r="E33" s="177"/>
    </row>
    <row r="34" spans="1:5" ht="15.75">
      <c r="A34" s="183"/>
      <c r="B34" s="181" t="s">
        <v>601</v>
      </c>
      <c r="C34" s="177"/>
      <c r="D34" s="178">
        <f>92978.726771+21781.029781</f>
        <v>114759.756552</v>
      </c>
      <c r="E34" s="177"/>
    </row>
    <row r="35" spans="1:5" ht="15.75">
      <c r="A35" s="183"/>
      <c r="B35" s="181" t="s">
        <v>602</v>
      </c>
      <c r="C35" s="177"/>
      <c r="D35" s="178">
        <f>7952.207743+26165.684792+2560.670849</f>
        <v>36678.563384</v>
      </c>
      <c r="E35" s="177"/>
    </row>
    <row r="36" spans="1:5" ht="47.25">
      <c r="A36" s="22" t="s">
        <v>586</v>
      </c>
      <c r="B36" s="20" t="s">
        <v>587</v>
      </c>
      <c r="C36" s="177"/>
      <c r="D36" s="175">
        <v>1036.384193</v>
      </c>
      <c r="E36" s="177"/>
    </row>
    <row r="37" spans="1:5" ht="15.75">
      <c r="A37" s="22" t="s">
        <v>596</v>
      </c>
      <c r="B37" s="20" t="s">
        <v>597</v>
      </c>
      <c r="C37" s="177"/>
      <c r="D37" s="175">
        <v>584.491</v>
      </c>
      <c r="E37" s="177"/>
    </row>
    <row r="38" spans="1:5" ht="15.75">
      <c r="A38" s="22" t="s">
        <v>598</v>
      </c>
      <c r="B38" s="20" t="s">
        <v>599</v>
      </c>
      <c r="C38" s="177"/>
      <c r="D38" s="175">
        <v>510.75</v>
      </c>
      <c r="E38" s="177"/>
    </row>
    <row r="39" spans="1:5" ht="15.75">
      <c r="A39" s="22">
        <v>2</v>
      </c>
      <c r="B39" s="23" t="s">
        <v>600</v>
      </c>
      <c r="C39" s="177"/>
      <c r="D39" s="175">
        <v>291.553</v>
      </c>
      <c r="E39" s="177"/>
    </row>
    <row r="40" spans="1:5" ht="15.75">
      <c r="A40" s="22">
        <v>3</v>
      </c>
      <c r="B40" s="23" t="s">
        <v>603</v>
      </c>
      <c r="C40" s="174">
        <f>SUM(C41,C44)</f>
        <v>200300</v>
      </c>
      <c r="D40" s="175">
        <f>SUM(D41,D44)</f>
        <v>186973.337758</v>
      </c>
      <c r="E40" s="176">
        <f>D40/C40</f>
        <v>0.9334664890564154</v>
      </c>
    </row>
    <row r="41" spans="1:5" ht="15.75">
      <c r="A41" s="22"/>
      <c r="B41" s="23" t="s">
        <v>604</v>
      </c>
      <c r="C41" s="174">
        <f>SUM(C42:C43)</f>
        <v>142000</v>
      </c>
      <c r="D41" s="175">
        <f>SUM(D42:D43)</f>
        <v>142372.109142</v>
      </c>
      <c r="E41" s="176">
        <f>D41/C41</f>
        <v>1.0026204869154929</v>
      </c>
    </row>
    <row r="42" spans="1:5" ht="15.75">
      <c r="A42" s="183"/>
      <c r="B42" s="24" t="s">
        <v>605</v>
      </c>
      <c r="C42" s="177">
        <v>142000</v>
      </c>
      <c r="D42" s="178">
        <v>132013.955775</v>
      </c>
      <c r="E42" s="179">
        <f>D42/C42</f>
        <v>0.9296757448943662</v>
      </c>
    </row>
    <row r="43" spans="1:5" ht="15.75">
      <c r="A43" s="183"/>
      <c r="B43" s="24" t="s">
        <v>606</v>
      </c>
      <c r="C43" s="177"/>
      <c r="D43" s="178">
        <v>10358.153367</v>
      </c>
      <c r="E43" s="177"/>
    </row>
    <row r="44" spans="1:5" ht="15.75">
      <c r="A44" s="22"/>
      <c r="B44" s="23" t="s">
        <v>607</v>
      </c>
      <c r="C44" s="177">
        <v>58300</v>
      </c>
      <c r="D44" s="178">
        <v>44601.228616</v>
      </c>
      <c r="E44" s="179">
        <f>D44/C44</f>
        <v>0.7650296503602059</v>
      </c>
    </row>
    <row r="45" spans="1:5" ht="15.75">
      <c r="A45" s="22">
        <v>4</v>
      </c>
      <c r="B45" s="23" t="s">
        <v>608</v>
      </c>
      <c r="C45" s="177"/>
      <c r="D45" s="178">
        <v>181.7022</v>
      </c>
      <c r="E45" s="177"/>
    </row>
    <row r="46" spans="1:5" ht="15.75">
      <c r="A46" s="22">
        <v>5</v>
      </c>
      <c r="B46" s="21" t="s">
        <v>609</v>
      </c>
      <c r="C46" s="177"/>
      <c r="D46" s="178">
        <v>53.9218</v>
      </c>
      <c r="E46" s="177"/>
    </row>
    <row r="47" spans="1:5" ht="15.75">
      <c r="A47" s="44" t="s">
        <v>50</v>
      </c>
      <c r="B47" s="45" t="s">
        <v>295</v>
      </c>
      <c r="C47" s="174">
        <f>SUM(C48,C56)</f>
        <v>620965</v>
      </c>
      <c r="D47" s="175">
        <f>SUM(D48,D56)</f>
        <v>992897.7967569999</v>
      </c>
      <c r="E47" s="176">
        <f>D47/C47</f>
        <v>1.598959356416223</v>
      </c>
    </row>
    <row r="48" spans="1:5" ht="15.75">
      <c r="A48" s="22" t="s">
        <v>291</v>
      </c>
      <c r="B48" s="23" t="s">
        <v>294</v>
      </c>
      <c r="C48" s="174">
        <f>SUM(C49:C51)</f>
        <v>562059</v>
      </c>
      <c r="D48" s="175">
        <f>SUM(D49:D51)</f>
        <v>917146.4760799999</v>
      </c>
      <c r="E48" s="176">
        <f>D48/C48</f>
        <v>1.6317619254918077</v>
      </c>
    </row>
    <row r="49" spans="1:5" ht="15.75">
      <c r="A49" s="23" t="s">
        <v>292</v>
      </c>
      <c r="B49" s="23" t="s">
        <v>610</v>
      </c>
      <c r="C49" s="174">
        <v>315769</v>
      </c>
      <c r="D49" s="175">
        <v>319116.864732</v>
      </c>
      <c r="E49" s="176">
        <f>D49/C49</f>
        <v>1.0106022590311272</v>
      </c>
    </row>
    <row r="50" spans="1:5" ht="15.75">
      <c r="A50" s="23" t="s">
        <v>293</v>
      </c>
      <c r="B50" s="23" t="s">
        <v>611</v>
      </c>
      <c r="C50" s="174">
        <v>246290</v>
      </c>
      <c r="D50" s="175">
        <v>310989.814957</v>
      </c>
      <c r="E50" s="176">
        <f>D50/C50</f>
        <v>1.2626976936010395</v>
      </c>
    </row>
    <row r="51" spans="1:5" ht="15.75">
      <c r="A51" s="23" t="s">
        <v>296</v>
      </c>
      <c r="B51" s="23" t="s">
        <v>612</v>
      </c>
      <c r="C51" s="177"/>
      <c r="D51" s="175">
        <v>287039.796391</v>
      </c>
      <c r="E51" s="177"/>
    </row>
    <row r="52" spans="1:5" ht="15.75">
      <c r="A52" s="24">
        <v>1</v>
      </c>
      <c r="B52" s="24" t="s">
        <v>613</v>
      </c>
      <c r="C52" s="177"/>
      <c r="D52" s="178">
        <v>163025.382188</v>
      </c>
      <c r="E52" s="177"/>
    </row>
    <row r="53" spans="1:5" ht="15.75">
      <c r="A53" s="24">
        <v>2</v>
      </c>
      <c r="B53" s="24" t="s">
        <v>614</v>
      </c>
      <c r="C53" s="177"/>
      <c r="D53" s="178">
        <v>9237.472452</v>
      </c>
      <c r="E53" s="177"/>
    </row>
    <row r="54" spans="1:5" ht="15.75">
      <c r="A54" s="24">
        <v>3</v>
      </c>
      <c r="B54" s="24" t="s">
        <v>615</v>
      </c>
      <c r="C54" s="177"/>
      <c r="D54" s="178">
        <v>112239.83887</v>
      </c>
      <c r="E54" s="177"/>
    </row>
    <row r="55" spans="1:5" ht="15.75">
      <c r="A55" s="24">
        <v>4</v>
      </c>
      <c r="B55" s="24" t="s">
        <v>616</v>
      </c>
      <c r="C55" s="177"/>
      <c r="D55" s="178">
        <v>2537.102881</v>
      </c>
      <c r="E55" s="177"/>
    </row>
    <row r="56" spans="1:5" ht="15.75">
      <c r="A56" s="184" t="s">
        <v>297</v>
      </c>
      <c r="B56" s="185" t="s">
        <v>617</v>
      </c>
      <c r="C56" s="174">
        <f>SUM(C57:C65,C66:C78)</f>
        <v>58906</v>
      </c>
      <c r="D56" s="175">
        <f>SUM(D57:D78)</f>
        <v>75751.32067699998</v>
      </c>
      <c r="E56" s="176">
        <f>D56/C56</f>
        <v>1.2859695222388208</v>
      </c>
    </row>
    <row r="57" spans="1:5" ht="15.75">
      <c r="A57" s="40">
        <v>1</v>
      </c>
      <c r="B57" s="26" t="s">
        <v>298</v>
      </c>
      <c r="C57" s="177"/>
      <c r="D57" s="178">
        <v>2161.403</v>
      </c>
      <c r="E57" s="177"/>
    </row>
    <row r="58" spans="1:5" ht="15.75">
      <c r="A58" s="149">
        <v>2</v>
      </c>
      <c r="B58" s="33" t="s">
        <v>618</v>
      </c>
      <c r="C58" s="177"/>
      <c r="D58" s="178">
        <v>5644.8845</v>
      </c>
      <c r="E58" s="177"/>
    </row>
    <row r="59" spans="1:5" ht="15.75">
      <c r="A59" s="40">
        <v>3</v>
      </c>
      <c r="B59" s="33" t="s">
        <v>619</v>
      </c>
      <c r="C59" s="177"/>
      <c r="D59" s="178">
        <v>800</v>
      </c>
      <c r="E59" s="177"/>
    </row>
    <row r="60" spans="1:5" ht="15.75">
      <c r="A60" s="149">
        <v>4</v>
      </c>
      <c r="B60" s="26" t="s">
        <v>620</v>
      </c>
      <c r="C60" s="177"/>
      <c r="D60" s="178">
        <v>650.4756</v>
      </c>
      <c r="E60" s="177"/>
    </row>
    <row r="61" spans="1:5" ht="15.75">
      <c r="A61" s="40">
        <v>5</v>
      </c>
      <c r="B61" s="33" t="s">
        <v>129</v>
      </c>
      <c r="C61" s="177"/>
      <c r="D61" s="178">
        <f>5015.705712+358.73</f>
        <v>5374.435712</v>
      </c>
      <c r="E61" s="177"/>
    </row>
    <row r="62" spans="1:5" ht="15.75">
      <c r="A62" s="149">
        <v>6</v>
      </c>
      <c r="B62" s="33" t="s">
        <v>621</v>
      </c>
      <c r="C62" s="177"/>
      <c r="D62" s="178">
        <v>26.349</v>
      </c>
      <c r="E62" s="177"/>
    </row>
    <row r="63" spans="1:5" ht="15.75">
      <c r="A63" s="40">
        <v>7</v>
      </c>
      <c r="B63" s="26" t="s">
        <v>357</v>
      </c>
      <c r="C63" s="177"/>
      <c r="D63" s="178">
        <v>111.8</v>
      </c>
      <c r="E63" s="177"/>
    </row>
    <row r="64" spans="1:5" ht="31.5">
      <c r="A64" s="149">
        <v>8</v>
      </c>
      <c r="B64" s="34" t="s">
        <v>121</v>
      </c>
      <c r="C64" s="177"/>
      <c r="D64" s="178">
        <v>32.977</v>
      </c>
      <c r="E64" s="177"/>
    </row>
    <row r="65" spans="1:5" ht="15.75">
      <c r="A65" s="40">
        <v>9</v>
      </c>
      <c r="B65" s="26" t="s">
        <v>622</v>
      </c>
      <c r="C65" s="177"/>
      <c r="D65" s="178">
        <v>540</v>
      </c>
      <c r="E65" s="177"/>
    </row>
    <row r="66" spans="1:5" ht="15.75">
      <c r="A66" s="149">
        <v>10</v>
      </c>
      <c r="B66" s="35" t="s">
        <v>623</v>
      </c>
      <c r="C66" s="177"/>
      <c r="D66" s="178">
        <v>7862.166868</v>
      </c>
      <c r="E66" s="177"/>
    </row>
    <row r="67" spans="1:5" ht="15.75">
      <c r="A67" s="40">
        <v>11</v>
      </c>
      <c r="B67" s="26" t="s">
        <v>624</v>
      </c>
      <c r="C67" s="177"/>
      <c r="D67" s="178">
        <v>4500</v>
      </c>
      <c r="E67" s="177"/>
    </row>
    <row r="68" spans="1:5" ht="15.75">
      <c r="A68" s="149">
        <v>12</v>
      </c>
      <c r="B68" s="33" t="s">
        <v>625</v>
      </c>
      <c r="C68" s="177">
        <v>2215</v>
      </c>
      <c r="D68" s="178">
        <v>1040.2834</v>
      </c>
      <c r="E68" s="179">
        <f>D68/C68</f>
        <v>0.4696539051918736</v>
      </c>
    </row>
    <row r="69" spans="1:5" ht="15.75">
      <c r="A69" s="40">
        <v>13</v>
      </c>
      <c r="B69" s="33" t="s">
        <v>626</v>
      </c>
      <c r="C69" s="177"/>
      <c r="D69" s="178">
        <v>10575.048326</v>
      </c>
      <c r="E69" s="177"/>
    </row>
    <row r="70" spans="1:5" ht="31.5">
      <c r="A70" s="149">
        <v>14</v>
      </c>
      <c r="B70" s="26" t="s">
        <v>627</v>
      </c>
      <c r="C70" s="177"/>
      <c r="D70" s="178">
        <v>1723.408</v>
      </c>
      <c r="E70" s="177"/>
    </row>
    <row r="71" spans="1:5" ht="15.75">
      <c r="A71" s="40">
        <v>15</v>
      </c>
      <c r="B71" s="25" t="s">
        <v>299</v>
      </c>
      <c r="C71" s="177"/>
      <c r="D71" s="178">
        <v>160.978585</v>
      </c>
      <c r="E71" s="177"/>
    </row>
    <row r="72" spans="1:5" ht="15.75">
      <c r="A72" s="149">
        <v>16</v>
      </c>
      <c r="B72" s="25" t="s">
        <v>628</v>
      </c>
      <c r="C72" s="177">
        <v>1610</v>
      </c>
      <c r="D72" s="178">
        <v>1022.998</v>
      </c>
      <c r="E72" s="179">
        <f>D72/C72</f>
        <v>0.6354024844720497</v>
      </c>
    </row>
    <row r="73" spans="1:5" ht="15.75">
      <c r="A73" s="40">
        <v>17</v>
      </c>
      <c r="B73" s="25" t="s">
        <v>0</v>
      </c>
      <c r="C73" s="177">
        <v>50000</v>
      </c>
      <c r="D73" s="178">
        <v>4344.647</v>
      </c>
      <c r="E73" s="179">
        <f>D73/C73</f>
        <v>0.08689294</v>
      </c>
    </row>
    <row r="74" spans="1:5" ht="15.75">
      <c r="A74" s="149">
        <v>18</v>
      </c>
      <c r="B74" s="36" t="s">
        <v>356</v>
      </c>
      <c r="C74" s="177"/>
      <c r="D74" s="178">
        <v>11096.66852</v>
      </c>
      <c r="E74" s="177"/>
    </row>
    <row r="75" spans="1:5" ht="15.75">
      <c r="A75" s="40">
        <v>19</v>
      </c>
      <c r="B75" s="25" t="s">
        <v>1</v>
      </c>
      <c r="C75" s="177"/>
      <c r="D75" s="178">
        <v>580</v>
      </c>
      <c r="E75" s="177"/>
    </row>
    <row r="76" spans="1:5" ht="15.75">
      <c r="A76" s="149">
        <v>20</v>
      </c>
      <c r="B76" s="25" t="s">
        <v>122</v>
      </c>
      <c r="C76" s="177">
        <v>221</v>
      </c>
      <c r="D76" s="178">
        <v>221</v>
      </c>
      <c r="E76" s="179">
        <f>D76/C76</f>
        <v>1</v>
      </c>
    </row>
    <row r="77" spans="1:5" ht="15.75">
      <c r="A77" s="40">
        <v>21</v>
      </c>
      <c r="B77" s="25" t="s">
        <v>353</v>
      </c>
      <c r="C77" s="177">
        <v>4860</v>
      </c>
      <c r="D77" s="178">
        <v>5037.422168</v>
      </c>
      <c r="E77" s="179">
        <f>D77/C77</f>
        <v>1.0365066189300411</v>
      </c>
    </row>
    <row r="78" spans="1:5" ht="15.75">
      <c r="A78" s="149">
        <v>22</v>
      </c>
      <c r="B78" s="26" t="s">
        <v>354</v>
      </c>
      <c r="C78" s="177"/>
      <c r="D78" s="178">
        <v>12244.374998</v>
      </c>
      <c r="E78" s="179"/>
    </row>
    <row r="79" spans="1:5" ht="15.75">
      <c r="A79" s="171" t="s">
        <v>53</v>
      </c>
      <c r="B79" s="186" t="s">
        <v>289</v>
      </c>
      <c r="C79" s="187"/>
      <c r="D79" s="188">
        <v>1771731.919738</v>
      </c>
      <c r="E79" s="187"/>
    </row>
    <row r="80" spans="1:5" ht="60" customHeight="1">
      <c r="A80" s="648"/>
      <c r="B80" s="648"/>
      <c r="C80" s="648"/>
      <c r="D80" s="648"/>
      <c r="E80" s="648"/>
    </row>
  </sheetData>
  <sheetProtection/>
  <mergeCells count="8">
    <mergeCell ref="A80:E80"/>
    <mergeCell ref="A2:E2"/>
    <mergeCell ref="A3:E3"/>
    <mergeCell ref="A5:A6"/>
    <mergeCell ref="B5:B6"/>
    <mergeCell ref="D5:D6"/>
    <mergeCell ref="C5:C6"/>
    <mergeCell ref="E5:E6"/>
  </mergeCells>
  <printOptions horizontalCentered="1"/>
  <pageMargins left="0" right="0" top="0.4724409448818898" bottom="0" header="0.31496062992125984" footer="0.31496062992125984"/>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dimension ref="A1:H51"/>
  <sheetViews>
    <sheetView zoomScalePageLayoutView="0" workbookViewId="0" topLeftCell="A16">
      <selection activeCell="B25" sqref="B25"/>
    </sheetView>
  </sheetViews>
  <sheetFormatPr defaultColWidth="9.00390625" defaultRowHeight="14.25"/>
  <cols>
    <col min="1" max="1" width="6.25390625" style="340" customWidth="1"/>
    <col min="2" max="2" width="49.125" style="340" customWidth="1"/>
    <col min="3" max="3" width="15.75390625" style="340" customWidth="1"/>
    <col min="4" max="4" width="18.875" style="340" customWidth="1"/>
    <col min="5" max="5" width="15.375" style="340" customWidth="1"/>
    <col min="6" max="7" width="11.75390625" style="340" bestFit="1" customWidth="1"/>
    <col min="8" max="8" width="10.125" style="340" bestFit="1" customWidth="1"/>
    <col min="9" max="16384" width="9.00390625" style="340" customWidth="1"/>
  </cols>
  <sheetData>
    <row r="1" spans="4:5" ht="21.75" customHeight="1">
      <c r="D1" s="655" t="s">
        <v>321</v>
      </c>
      <c r="E1" s="655"/>
    </row>
    <row r="2" spans="1:5" ht="40.5" customHeight="1">
      <c r="A2" s="591" t="s">
        <v>647</v>
      </c>
      <c r="B2" s="591"/>
      <c r="C2" s="591"/>
      <c r="D2" s="591"/>
      <c r="E2" s="591"/>
    </row>
    <row r="3" spans="1:5" ht="18" customHeight="1">
      <c r="A3" s="618" t="s">
        <v>680</v>
      </c>
      <c r="B3" s="618"/>
      <c r="C3" s="618"/>
      <c r="D3" s="618"/>
      <c r="E3" s="618"/>
    </row>
    <row r="4" spans="4:5" ht="15.75">
      <c r="D4" s="656" t="s">
        <v>269</v>
      </c>
      <c r="E4" s="656"/>
    </row>
    <row r="5" spans="1:5" ht="15.75" customHeight="1">
      <c r="A5" s="587" t="s">
        <v>43</v>
      </c>
      <c r="B5" s="587" t="s">
        <v>130</v>
      </c>
      <c r="C5" s="653" t="s">
        <v>382</v>
      </c>
      <c r="D5" s="653" t="s">
        <v>4</v>
      </c>
      <c r="E5" s="653" t="s">
        <v>131</v>
      </c>
    </row>
    <row r="6" spans="1:5" ht="17.25" customHeight="1">
      <c r="A6" s="587"/>
      <c r="B6" s="587"/>
      <c r="C6" s="654"/>
      <c r="D6" s="654"/>
      <c r="E6" s="654"/>
    </row>
    <row r="7" spans="1:5" ht="15.75" customHeight="1">
      <c r="A7" s="295" t="s">
        <v>45</v>
      </c>
      <c r="B7" s="295" t="s">
        <v>46</v>
      </c>
      <c r="C7" s="295">
        <v>1</v>
      </c>
      <c r="D7" s="295">
        <v>2</v>
      </c>
      <c r="E7" s="295" t="s">
        <v>545</v>
      </c>
    </row>
    <row r="8" spans="1:7" ht="15.75">
      <c r="A8" s="296" t="s">
        <v>45</v>
      </c>
      <c r="B8" s="297" t="s">
        <v>134</v>
      </c>
      <c r="C8" s="366">
        <f>SUM(C9,C26,C27,C42:C44)</f>
        <v>3608086</v>
      </c>
      <c r="D8" s="299">
        <f>SUM(D9,D26,D27,D42:D44)</f>
        <v>4655765.494822</v>
      </c>
      <c r="E8" s="346">
        <f>D8/C8</f>
        <v>1.2903698788837075</v>
      </c>
      <c r="F8" s="341"/>
      <c r="G8" s="341"/>
    </row>
    <row r="9" spans="1:5" ht="15.75">
      <c r="A9" s="301" t="s">
        <v>54</v>
      </c>
      <c r="B9" s="302" t="s">
        <v>561</v>
      </c>
      <c r="C9" s="369">
        <v>1497802</v>
      </c>
      <c r="D9" s="304">
        <f>SUM(D10,D24,D25)</f>
        <v>1431069.011022</v>
      </c>
      <c r="E9" s="347">
        <f>D9/C9</f>
        <v>0.9554460542995671</v>
      </c>
    </row>
    <row r="10" spans="1:5" ht="31.5">
      <c r="A10" s="301">
        <v>1</v>
      </c>
      <c r="B10" s="302" t="s">
        <v>135</v>
      </c>
      <c r="C10" s="300"/>
      <c r="D10" s="304">
        <f>SUM(D11:D23)</f>
        <v>1429069.011022</v>
      </c>
      <c r="E10" s="348"/>
    </row>
    <row r="11" spans="1:5" ht="15.75">
      <c r="A11" s="306" t="s">
        <v>582</v>
      </c>
      <c r="B11" s="307" t="s">
        <v>300</v>
      </c>
      <c r="C11" s="300"/>
      <c r="D11" s="48">
        <f>42488.242528-1083.8111</f>
        <v>41404.431428</v>
      </c>
      <c r="E11" s="348"/>
    </row>
    <row r="12" spans="1:5" ht="15.75">
      <c r="A12" s="306" t="s">
        <v>584</v>
      </c>
      <c r="B12" s="307" t="s">
        <v>301</v>
      </c>
      <c r="C12" s="300"/>
      <c r="D12" s="48">
        <v>5952.532021</v>
      </c>
      <c r="E12" s="348"/>
    </row>
    <row r="13" spans="1:5" ht="15.75">
      <c r="A13" s="306" t="s">
        <v>586</v>
      </c>
      <c r="B13" s="307" t="s">
        <v>136</v>
      </c>
      <c r="C13" s="300"/>
      <c r="D13" s="48">
        <v>291443.661427</v>
      </c>
      <c r="E13" s="348"/>
    </row>
    <row r="14" spans="1:5" ht="15.75">
      <c r="A14" s="306" t="s">
        <v>596</v>
      </c>
      <c r="B14" s="307" t="s">
        <v>137</v>
      </c>
      <c r="C14" s="300"/>
      <c r="D14" s="48">
        <v>8629.1336</v>
      </c>
      <c r="E14" s="348"/>
    </row>
    <row r="15" spans="1:5" ht="15.75">
      <c r="A15" s="306" t="s">
        <v>598</v>
      </c>
      <c r="B15" s="307" t="s">
        <v>138</v>
      </c>
      <c r="C15" s="300"/>
      <c r="D15" s="48">
        <v>29278.345881</v>
      </c>
      <c r="E15" s="348"/>
    </row>
    <row r="16" spans="1:5" ht="15.75">
      <c r="A16" s="306" t="s">
        <v>139</v>
      </c>
      <c r="B16" s="307" t="s">
        <v>140</v>
      </c>
      <c r="C16" s="300"/>
      <c r="D16" s="48">
        <v>11964.778614</v>
      </c>
      <c r="E16" s="348"/>
    </row>
    <row r="17" spans="1:5" ht="15.75">
      <c r="A17" s="306" t="s">
        <v>141</v>
      </c>
      <c r="B17" s="307" t="s">
        <v>142</v>
      </c>
      <c r="C17" s="300"/>
      <c r="D17" s="48">
        <v>1955</v>
      </c>
      <c r="E17" s="348"/>
    </row>
    <row r="18" spans="1:5" ht="15.75">
      <c r="A18" s="306" t="s">
        <v>143</v>
      </c>
      <c r="B18" s="307" t="s">
        <v>144</v>
      </c>
      <c r="C18" s="300"/>
      <c r="D18" s="48">
        <v>6678.7483</v>
      </c>
      <c r="E18" s="348"/>
    </row>
    <row r="19" spans="1:5" ht="15.75">
      <c r="A19" s="306" t="s">
        <v>145</v>
      </c>
      <c r="B19" s="307" t="s">
        <v>146</v>
      </c>
      <c r="C19" s="300"/>
      <c r="D19" s="48">
        <v>30571.829068</v>
      </c>
      <c r="E19" s="348"/>
    </row>
    <row r="20" spans="1:5" ht="15.75">
      <c r="A20" s="306" t="s">
        <v>147</v>
      </c>
      <c r="B20" s="307" t="s">
        <v>307</v>
      </c>
      <c r="C20" s="300"/>
      <c r="D20" s="48">
        <v>851144.488094</v>
      </c>
      <c r="E20" s="348"/>
    </row>
    <row r="21" spans="1:5" ht="31.5">
      <c r="A21" s="306" t="s">
        <v>148</v>
      </c>
      <c r="B21" s="307" t="s">
        <v>149</v>
      </c>
      <c r="C21" s="300"/>
      <c r="D21" s="48">
        <v>135264.060264</v>
      </c>
      <c r="E21" s="348"/>
    </row>
    <row r="22" spans="1:5" ht="15.75">
      <c r="A22" s="306" t="s">
        <v>150</v>
      </c>
      <c r="B22" s="307" t="s">
        <v>151</v>
      </c>
      <c r="C22" s="300"/>
      <c r="D22" s="48"/>
      <c r="E22" s="348"/>
    </row>
    <row r="23" spans="1:5" ht="15.75">
      <c r="A23" s="306" t="s">
        <v>152</v>
      </c>
      <c r="B23" s="307" t="s">
        <v>153</v>
      </c>
      <c r="C23" s="300"/>
      <c r="D23" s="48">
        <f>10975+3807.002325</f>
        <v>14782.002325</v>
      </c>
      <c r="E23" s="348"/>
    </row>
    <row r="24" spans="1:5" ht="31.5">
      <c r="A24" s="301">
        <v>2</v>
      </c>
      <c r="B24" s="302" t="s">
        <v>154</v>
      </c>
      <c r="C24" s="300"/>
      <c r="D24" s="304">
        <v>2000</v>
      </c>
      <c r="E24" s="348"/>
    </row>
    <row r="25" spans="1:5" ht="15.75">
      <c r="A25" s="301">
        <v>3</v>
      </c>
      <c r="B25" s="302" t="s">
        <v>574</v>
      </c>
      <c r="C25" s="300"/>
      <c r="D25" s="304"/>
      <c r="E25" s="348"/>
    </row>
    <row r="26" spans="1:5" ht="15.75">
      <c r="A26" s="301" t="s">
        <v>50</v>
      </c>
      <c r="B26" s="302" t="s">
        <v>155</v>
      </c>
      <c r="C26" s="369">
        <v>3817</v>
      </c>
      <c r="D26" s="304">
        <v>1681.227623</v>
      </c>
      <c r="E26" s="347">
        <f aca="true" t="shared" si="0" ref="E26:E39">D26/C26</f>
        <v>0.4404578525019649</v>
      </c>
    </row>
    <row r="27" spans="1:6" ht="15.75">
      <c r="A27" s="301" t="s">
        <v>51</v>
      </c>
      <c r="B27" s="302" t="s">
        <v>58</v>
      </c>
      <c r="C27" s="369">
        <f>SUM(C28:C41)</f>
        <v>2054054</v>
      </c>
      <c r="D27" s="304">
        <f>SUM(D28:D41)</f>
        <v>1951447.4248990002</v>
      </c>
      <c r="E27" s="347">
        <f t="shared" si="0"/>
        <v>0.950046797649429</v>
      </c>
      <c r="F27" s="341">
        <f>D27-'56'!D9</f>
        <v>0</v>
      </c>
    </row>
    <row r="28" spans="1:8" ht="15.75">
      <c r="A28" s="306" t="s">
        <v>156</v>
      </c>
      <c r="B28" s="307" t="s">
        <v>300</v>
      </c>
      <c r="C28" s="300">
        <v>54805</v>
      </c>
      <c r="D28" s="308">
        <v>67286.096</v>
      </c>
      <c r="E28" s="348">
        <f t="shared" si="0"/>
        <v>1.2277364474044339</v>
      </c>
      <c r="F28" s="341">
        <f>D28-'56'!G9</f>
        <v>0</v>
      </c>
      <c r="H28" s="340">
        <v>266.52560500000004</v>
      </c>
    </row>
    <row r="29" spans="1:6" ht="15.75">
      <c r="A29" s="306" t="s">
        <v>157</v>
      </c>
      <c r="B29" s="307" t="s">
        <v>301</v>
      </c>
      <c r="C29" s="300">
        <v>8600</v>
      </c>
      <c r="D29" s="308">
        <v>14929.515962</v>
      </c>
      <c r="E29" s="348">
        <f t="shared" si="0"/>
        <v>1.7359902281395347</v>
      </c>
      <c r="F29" s="341">
        <f>D29-'56'!H9</f>
        <v>0</v>
      </c>
    </row>
    <row r="30" spans="1:6" ht="15.75">
      <c r="A30" s="306" t="s">
        <v>158</v>
      </c>
      <c r="B30" s="307" t="s">
        <v>136</v>
      </c>
      <c r="C30" s="300">
        <v>489718</v>
      </c>
      <c r="D30" s="178">
        <v>504350.560317</v>
      </c>
      <c r="E30" s="348">
        <f t="shared" si="0"/>
        <v>1.0298795639878462</v>
      </c>
      <c r="F30" s="341">
        <f>D30-'56'!E9</f>
        <v>0</v>
      </c>
    </row>
    <row r="31" spans="1:6" ht="15.75">
      <c r="A31" s="306" t="s">
        <v>159</v>
      </c>
      <c r="B31" s="307" t="s">
        <v>137</v>
      </c>
      <c r="C31" s="300">
        <v>10000</v>
      </c>
      <c r="D31" s="308">
        <v>10620.446316</v>
      </c>
      <c r="E31" s="348">
        <f t="shared" si="0"/>
        <v>1.0620446316</v>
      </c>
      <c r="F31" s="341">
        <f>D31-'56'!F9</f>
        <v>0</v>
      </c>
    </row>
    <row r="32" spans="1:6" ht="15.75">
      <c r="A32" s="306" t="s">
        <v>160</v>
      </c>
      <c r="B32" s="307" t="s">
        <v>138</v>
      </c>
      <c r="C32" s="300">
        <v>609315</v>
      </c>
      <c r="D32" s="308">
        <v>653526.357345</v>
      </c>
      <c r="E32" s="348">
        <f t="shared" si="0"/>
        <v>1.072559115309815</v>
      </c>
      <c r="F32" s="341">
        <f>D32-'56'!I9</f>
        <v>0</v>
      </c>
    </row>
    <row r="33" spans="1:6" ht="15.75">
      <c r="A33" s="306" t="s">
        <v>161</v>
      </c>
      <c r="B33" s="307" t="s">
        <v>140</v>
      </c>
      <c r="C33" s="300">
        <v>37986</v>
      </c>
      <c r="D33" s="308">
        <v>49306.8604</v>
      </c>
      <c r="E33" s="348">
        <f t="shared" si="0"/>
        <v>1.29802717843416</v>
      </c>
      <c r="F33" s="341">
        <f>D33-'56'!J9</f>
        <v>0</v>
      </c>
    </row>
    <row r="34" spans="1:6" ht="15.75">
      <c r="A34" s="306" t="s">
        <v>162</v>
      </c>
      <c r="B34" s="307" t="s">
        <v>142</v>
      </c>
      <c r="C34" s="300">
        <v>23566</v>
      </c>
      <c r="D34" s="308">
        <v>25768</v>
      </c>
      <c r="E34" s="348">
        <f t="shared" si="0"/>
        <v>1.0934397012645336</v>
      </c>
      <c r="F34" s="341">
        <f>D34-'56'!K9</f>
        <v>0</v>
      </c>
    </row>
    <row r="35" spans="1:6" ht="15.75">
      <c r="A35" s="306" t="s">
        <v>163</v>
      </c>
      <c r="B35" s="307" t="s">
        <v>144</v>
      </c>
      <c r="C35" s="300">
        <v>6294</v>
      </c>
      <c r="D35" s="308">
        <v>6399</v>
      </c>
      <c r="E35" s="348">
        <f t="shared" si="0"/>
        <v>1.0166825548141087</v>
      </c>
      <c r="F35" s="341">
        <f>D35-'56'!L9</f>
        <v>0</v>
      </c>
    </row>
    <row r="36" spans="1:6" ht="15.75">
      <c r="A36" s="42" t="s">
        <v>164</v>
      </c>
      <c r="B36" s="43" t="s">
        <v>146</v>
      </c>
      <c r="C36" s="300">
        <v>9520</v>
      </c>
      <c r="D36" s="178">
        <v>19541.007139</v>
      </c>
      <c r="E36" s="348">
        <f t="shared" si="0"/>
        <v>2.0526268003151262</v>
      </c>
      <c r="F36" s="341">
        <f>D36-'56'!M9</f>
        <v>0</v>
      </c>
    </row>
    <row r="37" spans="1:6" ht="15.75">
      <c r="A37" s="306" t="s">
        <v>165</v>
      </c>
      <c r="B37" s="307" t="s">
        <v>307</v>
      </c>
      <c r="C37" s="300">
        <v>352320</v>
      </c>
      <c r="D37" s="311">
        <v>181444.227644</v>
      </c>
      <c r="E37" s="348">
        <f t="shared" si="0"/>
        <v>0.5149983754654859</v>
      </c>
      <c r="F37" s="341">
        <f>D37-'56'!N9</f>
        <v>0</v>
      </c>
    </row>
    <row r="38" spans="1:6" ht="31.5">
      <c r="A38" s="306" t="s">
        <v>166</v>
      </c>
      <c r="B38" s="307" t="s">
        <v>149</v>
      </c>
      <c r="C38" s="300">
        <v>360224</v>
      </c>
      <c r="D38" s="311">
        <v>370696.208055</v>
      </c>
      <c r="E38" s="348">
        <f t="shared" si="0"/>
        <v>1.0290713779620457</v>
      </c>
      <c r="F38" s="341">
        <f>D38-'56'!Q9</f>
        <v>0</v>
      </c>
    </row>
    <row r="39" spans="1:6" ht="15.75">
      <c r="A39" s="306" t="s">
        <v>167</v>
      </c>
      <c r="B39" s="307" t="s">
        <v>151</v>
      </c>
      <c r="C39" s="300">
        <v>22792</v>
      </c>
      <c r="D39" s="308">
        <v>42737.240044</v>
      </c>
      <c r="E39" s="348">
        <f t="shared" si="0"/>
        <v>1.875098282028782</v>
      </c>
      <c r="F39" s="341">
        <f>D39-'56'!R9</f>
        <v>0</v>
      </c>
    </row>
    <row r="40" spans="1:6" ht="15.75">
      <c r="A40" s="306" t="s">
        <v>168</v>
      </c>
      <c r="B40" s="307" t="s">
        <v>169</v>
      </c>
      <c r="C40" s="300">
        <v>54795</v>
      </c>
      <c r="D40" s="308">
        <v>4841.905677</v>
      </c>
      <c r="E40" s="348">
        <f>D40/C40</f>
        <v>0.08836400542020256</v>
      </c>
      <c r="F40" s="341">
        <f>D40-'56'!S9</f>
        <v>0</v>
      </c>
    </row>
    <row r="41" spans="1:5" ht="15.75">
      <c r="A41" s="306" t="s">
        <v>170</v>
      </c>
      <c r="B41" s="307" t="s">
        <v>171</v>
      </c>
      <c r="C41" s="300">
        <v>14119</v>
      </c>
      <c r="D41" s="48"/>
      <c r="E41" s="348"/>
    </row>
    <row r="42" spans="1:5" ht="15.75">
      <c r="A42" s="301" t="s">
        <v>52</v>
      </c>
      <c r="B42" s="302" t="s">
        <v>539</v>
      </c>
      <c r="C42" s="369">
        <v>1000</v>
      </c>
      <c r="D42" s="304">
        <v>1000</v>
      </c>
      <c r="E42" s="347">
        <f>D42/C42</f>
        <v>1</v>
      </c>
    </row>
    <row r="43" spans="1:5" ht="15.75">
      <c r="A43" s="301" t="s">
        <v>66</v>
      </c>
      <c r="B43" s="302" t="s">
        <v>540</v>
      </c>
      <c r="C43" s="369">
        <v>51413</v>
      </c>
      <c r="D43" s="304"/>
      <c r="E43" s="347"/>
    </row>
    <row r="44" spans="1:5" ht="15.75">
      <c r="A44" s="44" t="s">
        <v>575</v>
      </c>
      <c r="B44" s="45" t="s">
        <v>172</v>
      </c>
      <c r="C44" s="378"/>
      <c r="D44" s="313">
        <f>1270550.552321+17.278957</f>
        <v>1270567.831278</v>
      </c>
      <c r="E44" s="379"/>
    </row>
    <row r="45" spans="1:5" ht="15.75">
      <c r="A45" s="44" t="s">
        <v>46</v>
      </c>
      <c r="B45" s="45" t="s">
        <v>173</v>
      </c>
      <c r="C45" s="378">
        <f>SUM(C46:C47)</f>
        <v>3598626</v>
      </c>
      <c r="D45" s="313">
        <f>SUM(D46:D47)</f>
        <v>4846685.484888</v>
      </c>
      <c r="E45" s="380"/>
    </row>
    <row r="46" spans="1:5" ht="15.75">
      <c r="A46" s="42">
        <v>1</v>
      </c>
      <c r="B46" s="43" t="s">
        <v>174</v>
      </c>
      <c r="C46" s="381">
        <v>3598626</v>
      </c>
      <c r="D46" s="309">
        <v>3611094.151471</v>
      </c>
      <c r="E46" s="380"/>
    </row>
    <row r="47" spans="1:5" ht="20.25" customHeight="1">
      <c r="A47" s="42">
        <v>2</v>
      </c>
      <c r="B47" s="43" t="s">
        <v>10</v>
      </c>
      <c r="C47" s="381"/>
      <c r="D47" s="309">
        <f>SUM(D48:D49)</f>
        <v>1235591.3334169998</v>
      </c>
      <c r="E47" s="380"/>
    </row>
    <row r="48" spans="1:5" s="359" customFormat="1" ht="23.25" customHeight="1">
      <c r="A48" s="632"/>
      <c r="B48" s="382" t="s">
        <v>175</v>
      </c>
      <c r="C48" s="383"/>
      <c r="D48" s="178">
        <v>1135898.537382</v>
      </c>
      <c r="E48" s="380"/>
    </row>
    <row r="49" spans="1:5" ht="27.75" customHeight="1">
      <c r="A49" s="632"/>
      <c r="B49" s="382" t="s">
        <v>176</v>
      </c>
      <c r="C49" s="383"/>
      <c r="D49" s="178">
        <v>99692.796035</v>
      </c>
      <c r="E49" s="380"/>
    </row>
    <row r="50" spans="1:5" ht="15.75">
      <c r="A50" s="44" t="s">
        <v>53</v>
      </c>
      <c r="B50" s="45" t="s">
        <v>177</v>
      </c>
      <c r="C50" s="381"/>
      <c r="D50" s="313">
        <f>63264.355442+56368.969305</f>
        <v>119633.324747</v>
      </c>
      <c r="E50" s="380"/>
    </row>
    <row r="51" spans="1:8" ht="15.75">
      <c r="A51" s="47"/>
      <c r="B51" s="317" t="s">
        <v>178</v>
      </c>
      <c r="C51" s="68"/>
      <c r="D51" s="318">
        <f>SUM(D8,D45,D50)</f>
        <v>9622084.304457001</v>
      </c>
      <c r="E51" s="357"/>
      <c r="G51" s="341">
        <f>'49'!D21</f>
        <v>9622084.304457001</v>
      </c>
      <c r="H51" s="341">
        <f>G51-D51</f>
        <v>0</v>
      </c>
    </row>
  </sheetData>
  <sheetProtection/>
  <mergeCells count="10">
    <mergeCell ref="A48:A49"/>
    <mergeCell ref="D5:D6"/>
    <mergeCell ref="C5:C6"/>
    <mergeCell ref="D1:E1"/>
    <mergeCell ref="D4:E4"/>
    <mergeCell ref="A5:A6"/>
    <mergeCell ref="B5:B6"/>
    <mergeCell ref="A2:E2"/>
    <mergeCell ref="E5:E6"/>
    <mergeCell ref="A3:E3"/>
  </mergeCells>
  <printOptions horizontalCentered="1"/>
  <pageMargins left="0" right="0" top="0.511811023622047" bottom="0" header="0.31496062992126" footer="0.31496062992126"/>
  <pageSetup horizontalDpi="300" verticalDpi="300" orientation="portrait" paperSize="9" scale="80" r:id="rId1"/>
</worksheet>
</file>

<file path=xl/worksheets/sheet13.xml><?xml version="1.0" encoding="utf-8"?>
<worksheet xmlns="http://schemas.openxmlformats.org/spreadsheetml/2006/main" xmlns:r="http://schemas.openxmlformats.org/officeDocument/2006/relationships">
  <dimension ref="A1:O79"/>
  <sheetViews>
    <sheetView zoomScalePageLayoutView="0" workbookViewId="0" topLeftCell="A1">
      <selection activeCell="B7" sqref="B7"/>
    </sheetView>
  </sheetViews>
  <sheetFormatPr defaultColWidth="9.125" defaultRowHeight="14.25"/>
  <cols>
    <col min="1" max="1" width="6.375" style="169" customWidth="1"/>
    <col min="2" max="2" width="52.625" style="169" customWidth="1"/>
    <col min="3" max="4" width="14.00390625" style="169" customWidth="1"/>
    <col min="5" max="5" width="12.875" style="169" customWidth="1"/>
    <col min="6" max="6" width="14.875" style="169" customWidth="1"/>
    <col min="7" max="10" width="13.375" style="169" customWidth="1"/>
    <col min="11" max="11" width="10.75390625" style="169" customWidth="1"/>
    <col min="12" max="12" width="12.75390625" style="169" bestFit="1" customWidth="1"/>
    <col min="13" max="16384" width="9.125" style="169" customWidth="1"/>
  </cols>
  <sheetData>
    <row r="1" spans="8:11" ht="23.25" customHeight="1">
      <c r="H1" s="660" t="s">
        <v>322</v>
      </c>
      <c r="I1" s="660"/>
      <c r="J1" s="660"/>
      <c r="K1" s="660"/>
    </row>
    <row r="2" spans="1:11" ht="33" customHeight="1">
      <c r="A2" s="661" t="s">
        <v>648</v>
      </c>
      <c r="B2" s="661"/>
      <c r="C2" s="661"/>
      <c r="D2" s="661"/>
      <c r="E2" s="661"/>
      <c r="F2" s="661"/>
      <c r="G2" s="661"/>
      <c r="H2" s="661"/>
      <c r="I2" s="661"/>
      <c r="J2" s="661"/>
      <c r="K2" s="661"/>
    </row>
    <row r="3" spans="1:15" ht="18.75">
      <c r="A3" s="597" t="s">
        <v>680</v>
      </c>
      <c r="B3" s="597"/>
      <c r="C3" s="597"/>
      <c r="D3" s="597"/>
      <c r="E3" s="597"/>
      <c r="F3" s="597"/>
      <c r="G3" s="597"/>
      <c r="H3" s="597"/>
      <c r="I3" s="597"/>
      <c r="J3" s="597"/>
      <c r="K3" s="597"/>
      <c r="L3" s="559"/>
      <c r="M3" s="559"/>
      <c r="N3" s="559"/>
      <c r="O3" s="559"/>
    </row>
    <row r="4" spans="3:11" ht="15" customHeight="1">
      <c r="C4" s="170"/>
      <c r="D4" s="170"/>
      <c r="E4" s="170"/>
      <c r="J4" s="659" t="s">
        <v>48</v>
      </c>
      <c r="K4" s="659"/>
    </row>
    <row r="5" spans="1:11" ht="15" customHeight="1">
      <c r="A5" s="649" t="s">
        <v>43</v>
      </c>
      <c r="B5" s="649" t="s">
        <v>44</v>
      </c>
      <c r="C5" s="649" t="s">
        <v>314</v>
      </c>
      <c r="D5" s="657" t="s">
        <v>290</v>
      </c>
      <c r="E5" s="657"/>
      <c r="F5" s="649" t="s">
        <v>4</v>
      </c>
      <c r="G5" s="658" t="s">
        <v>290</v>
      </c>
      <c r="H5" s="658"/>
      <c r="I5" s="635" t="s">
        <v>563</v>
      </c>
      <c r="J5" s="635"/>
      <c r="K5" s="635"/>
    </row>
    <row r="6" spans="1:11" ht="41.25" customHeight="1">
      <c r="A6" s="650"/>
      <c r="B6" s="650"/>
      <c r="C6" s="650"/>
      <c r="D6" s="172" t="s">
        <v>345</v>
      </c>
      <c r="E6" s="172" t="s">
        <v>346</v>
      </c>
      <c r="F6" s="650"/>
      <c r="G6" s="172" t="s">
        <v>345</v>
      </c>
      <c r="H6" s="172" t="s">
        <v>346</v>
      </c>
      <c r="I6" s="172" t="s">
        <v>350</v>
      </c>
      <c r="J6" s="172" t="s">
        <v>351</v>
      </c>
      <c r="K6" s="172" t="s">
        <v>352</v>
      </c>
    </row>
    <row r="7" spans="1:12" ht="15.75">
      <c r="A7" s="203" t="s">
        <v>45</v>
      </c>
      <c r="B7" s="203" t="s">
        <v>46</v>
      </c>
      <c r="C7" s="203">
        <v>1</v>
      </c>
      <c r="D7" s="203">
        <v>2</v>
      </c>
      <c r="E7" s="203">
        <v>3</v>
      </c>
      <c r="F7" s="203">
        <v>4</v>
      </c>
      <c r="G7" s="203">
        <v>5</v>
      </c>
      <c r="H7" s="203">
        <v>6</v>
      </c>
      <c r="I7" s="203" t="s">
        <v>347</v>
      </c>
      <c r="J7" s="203" t="s">
        <v>348</v>
      </c>
      <c r="K7" s="203" t="s">
        <v>349</v>
      </c>
      <c r="L7" s="244"/>
    </row>
    <row r="8" spans="1:11" ht="15.75">
      <c r="A8" s="173"/>
      <c r="B8" s="229" t="s">
        <v>12</v>
      </c>
      <c r="C8" s="230">
        <f>SUM(C9,C25)</f>
        <v>7652022</v>
      </c>
      <c r="D8" s="230">
        <f>SUM(D9,D25)</f>
        <v>3608086</v>
      </c>
      <c r="E8" s="230">
        <f>SUM(E9,E25)</f>
        <v>4043936</v>
      </c>
      <c r="F8" s="235">
        <f>SUM(F9,F25,F78)</f>
        <v>10329154.113309</v>
      </c>
      <c r="G8" s="235">
        <f>SUM(G9,G25,G78)</f>
        <v>4655765.494821999</v>
      </c>
      <c r="H8" s="235">
        <f>SUM(H9,H25,H78)</f>
        <v>5673388.618487</v>
      </c>
      <c r="I8" s="231">
        <f aca="true" t="shared" si="0" ref="I8:K12">F8/C8</f>
        <v>1.3498594375851245</v>
      </c>
      <c r="J8" s="231">
        <f t="shared" si="0"/>
        <v>1.290369878883707</v>
      </c>
      <c r="K8" s="231">
        <f t="shared" si="0"/>
        <v>1.402937291412871</v>
      </c>
    </row>
    <row r="9" spans="1:11" ht="15.75">
      <c r="A9" s="44" t="s">
        <v>45</v>
      </c>
      <c r="B9" s="45" t="s">
        <v>13</v>
      </c>
      <c r="C9" s="174">
        <f aca="true" t="shared" si="1" ref="C9:H9">SUM(C10,C17,C21,C22:C24)</f>
        <v>6486538</v>
      </c>
      <c r="D9" s="174">
        <f t="shared" si="1"/>
        <v>2442602</v>
      </c>
      <c r="E9" s="174">
        <f t="shared" si="1"/>
        <v>4043936</v>
      </c>
      <c r="F9" s="175">
        <f t="shared" si="1"/>
        <v>7019952.706677999</v>
      </c>
      <c r="G9" s="175">
        <f t="shared" si="1"/>
        <v>2439081.143063</v>
      </c>
      <c r="H9" s="175">
        <f t="shared" si="1"/>
        <v>4580871.563615</v>
      </c>
      <c r="I9" s="176">
        <f t="shared" si="0"/>
        <v>1.0822341142036012</v>
      </c>
      <c r="J9" s="176">
        <f t="shared" si="0"/>
        <v>0.9985585629844731</v>
      </c>
      <c r="K9" s="176">
        <f t="shared" si="0"/>
        <v>1.1327754849767653</v>
      </c>
    </row>
    <row r="10" spans="1:11" ht="15.75">
      <c r="A10" s="44" t="s">
        <v>54</v>
      </c>
      <c r="B10" s="45" t="s">
        <v>561</v>
      </c>
      <c r="C10" s="174">
        <f>SUM(C11:C16)</f>
        <v>607852</v>
      </c>
      <c r="D10" s="174">
        <v>548351</v>
      </c>
      <c r="E10" s="174">
        <v>59501</v>
      </c>
      <c r="F10" s="175">
        <f>SUM(F11:F16)</f>
        <v>667664.640428</v>
      </c>
      <c r="G10" s="175">
        <f>SUM(G11:G16)</f>
        <v>557986.6780600001</v>
      </c>
      <c r="H10" s="175">
        <f>SUM(H11:H16)</f>
        <v>109677.96236800001</v>
      </c>
      <c r="I10" s="176">
        <f t="shared" si="0"/>
        <v>1.0984000059685581</v>
      </c>
      <c r="J10" s="176">
        <f t="shared" si="0"/>
        <v>1.0175720990022814</v>
      </c>
      <c r="K10" s="176">
        <f t="shared" si="0"/>
        <v>1.8432961188551453</v>
      </c>
    </row>
    <row r="11" spans="1:11" ht="15.75">
      <c r="A11" s="42">
        <v>1</v>
      </c>
      <c r="B11" s="43" t="s">
        <v>123</v>
      </c>
      <c r="C11" s="177">
        <v>530852</v>
      </c>
      <c r="D11" s="177">
        <v>509401</v>
      </c>
      <c r="E11" s="177">
        <v>21451</v>
      </c>
      <c r="F11" s="178">
        <v>509360.54278</v>
      </c>
      <c r="G11" s="178">
        <v>479954.819984</v>
      </c>
      <c r="H11" s="178">
        <v>29405.722796</v>
      </c>
      <c r="I11" s="179">
        <f t="shared" si="0"/>
        <v>0.9595151620037223</v>
      </c>
      <c r="J11" s="179">
        <f t="shared" si="0"/>
        <v>0.9421944989978426</v>
      </c>
      <c r="K11" s="179">
        <f t="shared" si="0"/>
        <v>1.370832259381847</v>
      </c>
    </row>
    <row r="12" spans="1:11" ht="15.75">
      <c r="A12" s="42">
        <v>2</v>
      </c>
      <c r="B12" s="43" t="s">
        <v>124</v>
      </c>
      <c r="C12" s="177">
        <v>60000</v>
      </c>
      <c r="D12" s="177">
        <v>21950</v>
      </c>
      <c r="E12" s="177">
        <v>38050</v>
      </c>
      <c r="F12" s="178">
        <v>87688.521885</v>
      </c>
      <c r="G12" s="178">
        <v>25757.002325</v>
      </c>
      <c r="H12" s="178">
        <v>61931.51956</v>
      </c>
      <c r="I12" s="179">
        <f t="shared" si="0"/>
        <v>1.4614753647499998</v>
      </c>
      <c r="J12" s="179">
        <f t="shared" si="0"/>
        <v>1.1734397414578588</v>
      </c>
      <c r="K12" s="179">
        <f t="shared" si="0"/>
        <v>1.6276352052562417</v>
      </c>
    </row>
    <row r="13" spans="1:11" ht="15.75">
      <c r="A13" s="42">
        <v>3</v>
      </c>
      <c r="B13" s="43" t="s">
        <v>127</v>
      </c>
      <c r="C13" s="177">
        <v>17000</v>
      </c>
      <c r="D13" s="177">
        <v>17000</v>
      </c>
      <c r="E13" s="177"/>
      <c r="F13" s="178">
        <v>13489.711</v>
      </c>
      <c r="G13" s="178">
        <v>12589.711</v>
      </c>
      <c r="H13" s="178">
        <v>900</v>
      </c>
      <c r="I13" s="179">
        <f>F13/C13</f>
        <v>0.7935124117647059</v>
      </c>
      <c r="J13" s="179">
        <f>G13/D13</f>
        <v>0.7405712352941176</v>
      </c>
      <c r="K13" s="179"/>
    </row>
    <row r="14" spans="1:11" ht="15.75">
      <c r="A14" s="42">
        <v>4</v>
      </c>
      <c r="B14" s="43" t="s">
        <v>128</v>
      </c>
      <c r="C14" s="177"/>
      <c r="D14" s="177"/>
      <c r="E14" s="177"/>
      <c r="F14" s="178">
        <v>17206.196112</v>
      </c>
      <c r="G14" s="178">
        <v>115.4761</v>
      </c>
      <c r="H14" s="178">
        <v>17090.720012</v>
      </c>
      <c r="I14" s="179"/>
      <c r="J14" s="179"/>
      <c r="K14" s="179"/>
    </row>
    <row r="15" spans="1:11" ht="15.75">
      <c r="A15" s="42">
        <v>5</v>
      </c>
      <c r="B15" s="43" t="s">
        <v>502</v>
      </c>
      <c r="C15" s="177"/>
      <c r="D15" s="177"/>
      <c r="E15" s="177"/>
      <c r="F15" s="178">
        <v>37569.668651</v>
      </c>
      <c r="G15" s="178">
        <v>37569.668651</v>
      </c>
      <c r="H15" s="178"/>
      <c r="I15" s="179"/>
      <c r="J15" s="179"/>
      <c r="K15" s="179"/>
    </row>
    <row r="16" spans="1:11" ht="15.75">
      <c r="A16" s="42">
        <v>6</v>
      </c>
      <c r="B16" s="43" t="s">
        <v>126</v>
      </c>
      <c r="C16" s="177"/>
      <c r="D16" s="177"/>
      <c r="E16" s="177"/>
      <c r="F16" s="178">
        <v>2350</v>
      </c>
      <c r="G16" s="178">
        <v>2000</v>
      </c>
      <c r="H16" s="178">
        <v>350</v>
      </c>
      <c r="I16" s="179"/>
      <c r="J16" s="179"/>
      <c r="K16" s="179"/>
    </row>
    <row r="17" spans="1:11" ht="15.75">
      <c r="A17" s="44" t="s">
        <v>50</v>
      </c>
      <c r="B17" s="45" t="s">
        <v>58</v>
      </c>
      <c r="C17" s="174">
        <v>5727460</v>
      </c>
      <c r="D17" s="174">
        <f>1838021-14119</f>
        <v>1823902</v>
      </c>
      <c r="E17" s="174">
        <v>3903558</v>
      </c>
      <c r="F17" s="175">
        <f>SUM(G17:H17)</f>
        <v>6349606.838626999</v>
      </c>
      <c r="G17" s="175">
        <v>1878413.23738</v>
      </c>
      <c r="H17" s="175">
        <v>4471193.601247</v>
      </c>
      <c r="I17" s="176">
        <f>F17/C17</f>
        <v>1.1086252612199823</v>
      </c>
      <c r="J17" s="176"/>
      <c r="K17" s="176">
        <f>H17/E17</f>
        <v>1.1454149269069396</v>
      </c>
    </row>
    <row r="18" spans="1:11" ht="15.75">
      <c r="A18" s="42"/>
      <c r="B18" s="46" t="s">
        <v>69</v>
      </c>
      <c r="C18" s="177"/>
      <c r="D18" s="177"/>
      <c r="E18" s="177"/>
      <c r="F18" s="178"/>
      <c r="G18" s="178"/>
      <c r="H18" s="178"/>
      <c r="I18" s="176"/>
      <c r="J18" s="176"/>
      <c r="K18" s="176"/>
    </row>
    <row r="19" spans="1:11" ht="15.75">
      <c r="A19" s="42">
        <v>1</v>
      </c>
      <c r="B19" s="46" t="s">
        <v>572</v>
      </c>
      <c r="C19" s="180">
        <v>2813702</v>
      </c>
      <c r="D19" s="180">
        <v>489497</v>
      </c>
      <c r="E19" s="180">
        <v>2324205</v>
      </c>
      <c r="F19" s="178">
        <v>3150843.953715</v>
      </c>
      <c r="G19" s="178">
        <v>496535.289924</v>
      </c>
      <c r="H19" s="178">
        <v>2654308.663791</v>
      </c>
      <c r="I19" s="179">
        <f aca="true" t="shared" si="2" ref="I19:K20">F19/C19</f>
        <v>1.1198214856139703</v>
      </c>
      <c r="J19" s="179">
        <f t="shared" si="2"/>
        <v>1.0143786170783478</v>
      </c>
      <c r="K19" s="179">
        <f t="shared" si="2"/>
        <v>1.1420286350778008</v>
      </c>
    </row>
    <row r="20" spans="1:11" ht="15.75">
      <c r="A20" s="42">
        <v>2</v>
      </c>
      <c r="B20" s="46" t="s">
        <v>573</v>
      </c>
      <c r="C20" s="180">
        <v>12550</v>
      </c>
      <c r="D20" s="180">
        <v>10000</v>
      </c>
      <c r="E20" s="180">
        <v>2550</v>
      </c>
      <c r="F20" s="178">
        <v>14413.096657</v>
      </c>
      <c r="G20" s="178">
        <v>10620.446316</v>
      </c>
      <c r="H20" s="178">
        <v>3792.650341</v>
      </c>
      <c r="I20" s="179">
        <f t="shared" si="2"/>
        <v>1.1484539168924304</v>
      </c>
      <c r="J20" s="179">
        <f t="shared" si="2"/>
        <v>1.0620446316</v>
      </c>
      <c r="K20" s="179">
        <f t="shared" si="2"/>
        <v>1.4873138592156863</v>
      </c>
    </row>
    <row r="21" spans="1:11" ht="15.75">
      <c r="A21" s="44" t="s">
        <v>51</v>
      </c>
      <c r="B21" s="45" t="s">
        <v>59</v>
      </c>
      <c r="C21" s="174">
        <v>3817</v>
      </c>
      <c r="D21" s="174">
        <v>3817</v>
      </c>
      <c r="E21" s="174"/>
      <c r="F21" s="178">
        <v>1681.227623</v>
      </c>
      <c r="G21" s="178">
        <v>1681.227623</v>
      </c>
      <c r="H21" s="178"/>
      <c r="I21" s="176">
        <f aca="true" t="shared" si="3" ref="I21:J27">F21/C21</f>
        <v>0.4404578525019649</v>
      </c>
      <c r="J21" s="176">
        <f t="shared" si="3"/>
        <v>0.4404578525019649</v>
      </c>
      <c r="K21" s="176"/>
    </row>
    <row r="22" spans="1:11" ht="15.75">
      <c r="A22" s="44" t="s">
        <v>52</v>
      </c>
      <c r="B22" s="45" t="s">
        <v>539</v>
      </c>
      <c r="C22" s="174">
        <v>1000</v>
      </c>
      <c r="D22" s="174">
        <v>1000</v>
      </c>
      <c r="E22" s="174"/>
      <c r="F22" s="178">
        <v>1000</v>
      </c>
      <c r="G22" s="178">
        <v>1000</v>
      </c>
      <c r="H22" s="178"/>
      <c r="I22" s="176">
        <f t="shared" si="3"/>
        <v>1</v>
      </c>
      <c r="J22" s="176">
        <f t="shared" si="3"/>
        <v>1</v>
      </c>
      <c r="K22" s="176"/>
    </row>
    <row r="23" spans="1:11" ht="15.75">
      <c r="A23" s="44" t="s">
        <v>66</v>
      </c>
      <c r="B23" s="45" t="s">
        <v>540</v>
      </c>
      <c r="C23" s="174">
        <v>132290</v>
      </c>
      <c r="D23" s="174">
        <v>51413</v>
      </c>
      <c r="E23" s="174">
        <v>80877</v>
      </c>
      <c r="F23" s="178"/>
      <c r="G23" s="178"/>
      <c r="H23" s="178"/>
      <c r="I23" s="176">
        <f t="shared" si="3"/>
        <v>0</v>
      </c>
      <c r="J23" s="176">
        <f t="shared" si="3"/>
        <v>0</v>
      </c>
      <c r="K23" s="176">
        <f>H23/E23</f>
        <v>0</v>
      </c>
    </row>
    <row r="24" spans="1:11" ht="15.75">
      <c r="A24" s="44" t="s">
        <v>575</v>
      </c>
      <c r="B24" s="45" t="s">
        <v>60</v>
      </c>
      <c r="C24" s="174">
        <v>14119</v>
      </c>
      <c r="D24" s="174">
        <v>14119</v>
      </c>
      <c r="E24" s="174"/>
      <c r="F24" s="178"/>
      <c r="G24" s="178"/>
      <c r="H24" s="178"/>
      <c r="I24" s="176">
        <f t="shared" si="3"/>
        <v>0</v>
      </c>
      <c r="J24" s="176">
        <f t="shared" si="3"/>
        <v>0</v>
      </c>
      <c r="K24" s="176"/>
    </row>
    <row r="25" spans="1:11" ht="15.75">
      <c r="A25" s="44" t="s">
        <v>46</v>
      </c>
      <c r="B25" s="45" t="s">
        <v>576</v>
      </c>
      <c r="C25" s="174">
        <f aca="true" t="shared" si="4" ref="C25:H25">SUM(C26,C45)</f>
        <v>1165484</v>
      </c>
      <c r="D25" s="174">
        <f t="shared" si="4"/>
        <v>1165484</v>
      </c>
      <c r="E25" s="174">
        <f t="shared" si="4"/>
        <v>0</v>
      </c>
      <c r="F25" s="175">
        <f t="shared" si="4"/>
        <v>1537469.486893</v>
      </c>
      <c r="G25" s="175">
        <f t="shared" si="4"/>
        <v>946116.5204809998</v>
      </c>
      <c r="H25" s="175">
        <f t="shared" si="4"/>
        <v>591352.966412</v>
      </c>
      <c r="I25" s="176">
        <f t="shared" si="3"/>
        <v>1.3191682484641574</v>
      </c>
      <c r="J25" s="176">
        <f t="shared" si="3"/>
        <v>0.8117799304675137</v>
      </c>
      <c r="K25" s="176"/>
    </row>
    <row r="26" spans="1:11" ht="15.75">
      <c r="A26" s="44" t="s">
        <v>54</v>
      </c>
      <c r="B26" s="45" t="s">
        <v>542</v>
      </c>
      <c r="C26" s="174">
        <f aca="true" t="shared" si="5" ref="C26:H26">SUM(C27,C37,C38,C43:C43,C44)</f>
        <v>544519</v>
      </c>
      <c r="D26" s="174">
        <f t="shared" si="5"/>
        <v>544519</v>
      </c>
      <c r="E26" s="174">
        <f t="shared" si="5"/>
        <v>0</v>
      </c>
      <c r="F26" s="175">
        <f t="shared" si="5"/>
        <v>544571.690136</v>
      </c>
      <c r="G26" s="175">
        <f t="shared" si="5"/>
        <v>70212.500713</v>
      </c>
      <c r="H26" s="175">
        <f t="shared" si="5"/>
        <v>474359.189423</v>
      </c>
      <c r="I26" s="176">
        <f t="shared" si="3"/>
        <v>1.0000967645499974</v>
      </c>
      <c r="J26" s="176">
        <f t="shared" si="3"/>
        <v>0.1289440785592422</v>
      </c>
      <c r="K26" s="176"/>
    </row>
    <row r="27" spans="1:11" ht="15.75">
      <c r="A27" s="44">
        <v>1</v>
      </c>
      <c r="B27" s="182" t="s">
        <v>581</v>
      </c>
      <c r="C27" s="174">
        <v>344219</v>
      </c>
      <c r="D27" s="174">
        <v>344219</v>
      </c>
      <c r="E27" s="174"/>
      <c r="F27" s="175">
        <f>SUM(F28,F31,F34,F35,F36)</f>
        <v>357071.17537799996</v>
      </c>
      <c r="G27" s="175">
        <f>SUM(G28,G31,G34,G35,G36)</f>
        <v>1293.2586</v>
      </c>
      <c r="H27" s="175">
        <f>SUM(H28,H31,H34,H35,H36)</f>
        <v>355777.91677799996</v>
      </c>
      <c r="I27" s="176">
        <f t="shared" si="3"/>
        <v>1.0373372050293561</v>
      </c>
      <c r="J27" s="176">
        <f t="shared" si="3"/>
        <v>0.003757080811924966</v>
      </c>
      <c r="K27" s="176"/>
    </row>
    <row r="28" spans="1:11" ht="15.75">
      <c r="A28" s="22" t="s">
        <v>582</v>
      </c>
      <c r="B28" s="182" t="s">
        <v>583</v>
      </c>
      <c r="C28" s="174">
        <f>SUM(C29:C30)</f>
        <v>0</v>
      </c>
      <c r="D28" s="174"/>
      <c r="E28" s="174"/>
      <c r="F28" s="175">
        <f>SUM(F29:F30)</f>
        <v>203501.230249</v>
      </c>
      <c r="G28" s="175">
        <f>SUM(G29:G30)</f>
        <v>150</v>
      </c>
      <c r="H28" s="175">
        <f>SUM(H29:H30)</f>
        <v>203351.230249</v>
      </c>
      <c r="I28" s="176"/>
      <c r="J28" s="176"/>
      <c r="K28" s="176"/>
    </row>
    <row r="29" spans="1:11" ht="15.75">
      <c r="A29" s="183"/>
      <c r="B29" s="181" t="s">
        <v>601</v>
      </c>
      <c r="C29" s="177"/>
      <c r="D29" s="177"/>
      <c r="E29" s="177"/>
      <c r="F29" s="178">
        <f>119238.777903+34184.194202</f>
        <v>153422.972105</v>
      </c>
      <c r="G29" s="178"/>
      <c r="H29" s="178">
        <f>119238.777903+34184.194202</f>
        <v>153422.972105</v>
      </c>
      <c r="I29" s="176"/>
      <c r="J29" s="176"/>
      <c r="K29" s="176"/>
    </row>
    <row r="30" spans="1:11" ht="15.75">
      <c r="A30" s="183"/>
      <c r="B30" s="181" t="s">
        <v>602</v>
      </c>
      <c r="C30" s="177"/>
      <c r="D30" s="177"/>
      <c r="E30" s="177"/>
      <c r="F30" s="178">
        <f>12623.23087+37006.530774+448.4965</f>
        <v>50078.258144</v>
      </c>
      <c r="G30" s="178">
        <v>150</v>
      </c>
      <c r="H30" s="178">
        <f>12623.23087+37006.530774+448.4965-150</f>
        <v>49928.258144</v>
      </c>
      <c r="I30" s="176"/>
      <c r="J30" s="176"/>
      <c r="K30" s="176"/>
    </row>
    <row r="31" spans="1:11" ht="15.75">
      <c r="A31" s="22" t="s">
        <v>584</v>
      </c>
      <c r="B31" s="20" t="s">
        <v>585</v>
      </c>
      <c r="C31" s="174">
        <f>SUM(C32:C33)</f>
        <v>0</v>
      </c>
      <c r="D31" s="174"/>
      <c r="E31" s="174"/>
      <c r="F31" s="175">
        <f>SUM(F32:F33)</f>
        <v>151438.319936</v>
      </c>
      <c r="G31" s="175">
        <f>SUM(G32:G33)</f>
        <v>695.6586</v>
      </c>
      <c r="H31" s="175">
        <f>SUM(H32:H33)</f>
        <v>150742.66133600002</v>
      </c>
      <c r="I31" s="176"/>
      <c r="J31" s="176"/>
      <c r="K31" s="176"/>
    </row>
    <row r="32" spans="1:11" ht="15.75">
      <c r="A32" s="183"/>
      <c r="B32" s="181" t="s">
        <v>601</v>
      </c>
      <c r="C32" s="177"/>
      <c r="D32" s="177"/>
      <c r="E32" s="177"/>
      <c r="F32" s="178">
        <f>92978.726771+21781.029781</f>
        <v>114759.756552</v>
      </c>
      <c r="G32" s="178"/>
      <c r="H32" s="178">
        <f>92978.726771+21781.029781</f>
        <v>114759.756552</v>
      </c>
      <c r="I32" s="176"/>
      <c r="J32" s="176"/>
      <c r="K32" s="176"/>
    </row>
    <row r="33" spans="1:11" ht="15.75">
      <c r="A33" s="183"/>
      <c r="B33" s="181" t="s">
        <v>602</v>
      </c>
      <c r="C33" s="177"/>
      <c r="D33" s="177"/>
      <c r="E33" s="177"/>
      <c r="F33" s="178">
        <f>7952.207743+26165.684792+2560.670849</f>
        <v>36678.563384</v>
      </c>
      <c r="G33" s="178">
        <v>695.6586</v>
      </c>
      <c r="H33" s="178">
        <f>7952.207743+26165.684792+2560.670849-695.6586</f>
        <v>35982.904784</v>
      </c>
      <c r="I33" s="176"/>
      <c r="J33" s="176"/>
      <c r="K33" s="176"/>
    </row>
    <row r="34" spans="1:11" ht="60.75" customHeight="1">
      <c r="A34" s="22" t="s">
        <v>586</v>
      </c>
      <c r="B34" s="20" t="s">
        <v>587</v>
      </c>
      <c r="C34" s="177"/>
      <c r="D34" s="177"/>
      <c r="E34" s="177"/>
      <c r="F34" s="178">
        <v>1036.384193</v>
      </c>
      <c r="G34" s="178"/>
      <c r="H34" s="178">
        <v>1036.384193</v>
      </c>
      <c r="I34" s="176"/>
      <c r="J34" s="176"/>
      <c r="K34" s="176"/>
    </row>
    <row r="35" spans="1:11" ht="30.75" customHeight="1">
      <c r="A35" s="22" t="s">
        <v>596</v>
      </c>
      <c r="B35" s="20" t="s">
        <v>597</v>
      </c>
      <c r="C35" s="177"/>
      <c r="D35" s="177"/>
      <c r="E35" s="177"/>
      <c r="F35" s="178">
        <v>584.491</v>
      </c>
      <c r="G35" s="178">
        <v>235.6</v>
      </c>
      <c r="H35" s="178">
        <v>348.891</v>
      </c>
      <c r="I35" s="176"/>
      <c r="J35" s="176"/>
      <c r="K35" s="176"/>
    </row>
    <row r="36" spans="1:11" ht="43.5" customHeight="1">
      <c r="A36" s="22" t="s">
        <v>598</v>
      </c>
      <c r="B36" s="20" t="s">
        <v>599</v>
      </c>
      <c r="C36" s="177"/>
      <c r="D36" s="177"/>
      <c r="E36" s="177"/>
      <c r="F36" s="178">
        <v>510.75</v>
      </c>
      <c r="G36" s="178">
        <v>212</v>
      </c>
      <c r="H36" s="178">
        <v>298.75</v>
      </c>
      <c r="I36" s="176"/>
      <c r="J36" s="176"/>
      <c r="K36" s="176"/>
    </row>
    <row r="37" spans="1:11" ht="18.75" customHeight="1">
      <c r="A37" s="22">
        <v>2</v>
      </c>
      <c r="B37" s="23" t="s">
        <v>600</v>
      </c>
      <c r="C37" s="177"/>
      <c r="D37" s="177"/>
      <c r="E37" s="177"/>
      <c r="F37" s="175">
        <v>291.553</v>
      </c>
      <c r="G37" s="178"/>
      <c r="H37" s="178">
        <v>291.553</v>
      </c>
      <c r="I37" s="176"/>
      <c r="J37" s="176"/>
      <c r="K37" s="176"/>
    </row>
    <row r="38" spans="1:11" ht="22.5" customHeight="1">
      <c r="A38" s="22">
        <v>3</v>
      </c>
      <c r="B38" s="23" t="s">
        <v>603</v>
      </c>
      <c r="C38" s="174">
        <f aca="true" t="shared" si="6" ref="C38:H38">SUM(C39,C42)</f>
        <v>200300</v>
      </c>
      <c r="D38" s="174">
        <f t="shared" si="6"/>
        <v>200300</v>
      </c>
      <c r="E38" s="174">
        <f t="shared" si="6"/>
        <v>0</v>
      </c>
      <c r="F38" s="175">
        <f t="shared" si="6"/>
        <v>186973.337758</v>
      </c>
      <c r="G38" s="175">
        <f t="shared" si="6"/>
        <v>68865.320313</v>
      </c>
      <c r="H38" s="175">
        <f t="shared" si="6"/>
        <v>118108.017445</v>
      </c>
      <c r="I38" s="176">
        <f aca="true" t="shared" si="7" ref="I38:J40">F38/C38</f>
        <v>0.9334664890564154</v>
      </c>
      <c r="J38" s="176">
        <f t="shared" si="7"/>
        <v>0.3438108852371443</v>
      </c>
      <c r="K38" s="176"/>
    </row>
    <row r="39" spans="1:11" ht="15.75">
      <c r="A39" s="22"/>
      <c r="B39" s="23" t="s">
        <v>604</v>
      </c>
      <c r="C39" s="174">
        <f aca="true" t="shared" si="8" ref="C39:H39">SUM(C40:C41)</f>
        <v>142000</v>
      </c>
      <c r="D39" s="174">
        <f t="shared" si="8"/>
        <v>142000</v>
      </c>
      <c r="E39" s="174">
        <f t="shared" si="8"/>
        <v>0</v>
      </c>
      <c r="F39" s="175">
        <f t="shared" si="8"/>
        <v>142372.109142</v>
      </c>
      <c r="G39" s="175">
        <f t="shared" si="8"/>
        <v>61790.231</v>
      </c>
      <c r="H39" s="175">
        <f t="shared" si="8"/>
        <v>80581.878142</v>
      </c>
      <c r="I39" s="176">
        <f t="shared" si="7"/>
        <v>1.0026204869154929</v>
      </c>
      <c r="J39" s="176">
        <f t="shared" si="7"/>
        <v>0.4351424718309859</v>
      </c>
      <c r="K39" s="176"/>
    </row>
    <row r="40" spans="1:11" ht="15.75">
      <c r="A40" s="183"/>
      <c r="B40" s="24" t="s">
        <v>605</v>
      </c>
      <c r="C40" s="177">
        <v>142000</v>
      </c>
      <c r="D40" s="177">
        <v>142000</v>
      </c>
      <c r="E40" s="177"/>
      <c r="F40" s="178">
        <v>132013.955775</v>
      </c>
      <c r="G40" s="178">
        <v>61790.231</v>
      </c>
      <c r="H40" s="178">
        <v>70223.724775</v>
      </c>
      <c r="I40" s="179">
        <f t="shared" si="7"/>
        <v>0.9296757448943662</v>
      </c>
      <c r="J40" s="179">
        <f t="shared" si="7"/>
        <v>0.4351424718309859</v>
      </c>
      <c r="K40" s="176"/>
    </row>
    <row r="41" spans="1:11" ht="15.75">
      <c r="A41" s="183"/>
      <c r="B41" s="24" t="s">
        <v>606</v>
      </c>
      <c r="C41" s="177"/>
      <c r="D41" s="177"/>
      <c r="E41" s="177"/>
      <c r="F41" s="178">
        <v>10358.153367</v>
      </c>
      <c r="G41" s="178"/>
      <c r="H41" s="178">
        <v>10358.153367</v>
      </c>
      <c r="I41" s="179"/>
      <c r="J41" s="179"/>
      <c r="K41" s="176"/>
    </row>
    <row r="42" spans="1:11" ht="15.75">
      <c r="A42" s="22"/>
      <c r="B42" s="23" t="s">
        <v>607</v>
      </c>
      <c r="C42" s="177">
        <v>58300</v>
      </c>
      <c r="D42" s="177">
        <v>58300</v>
      </c>
      <c r="E42" s="177"/>
      <c r="F42" s="178">
        <v>44601.228616</v>
      </c>
      <c r="G42" s="178">
        <v>7075.089313</v>
      </c>
      <c r="H42" s="178">
        <v>37526.139303</v>
      </c>
      <c r="I42" s="179">
        <f>F42/C42</f>
        <v>0.7650296503602059</v>
      </c>
      <c r="J42" s="179">
        <f>G42/D42</f>
        <v>0.12135659198970841</v>
      </c>
      <c r="K42" s="176"/>
    </row>
    <row r="43" spans="1:11" ht="15.75">
      <c r="A43" s="22">
        <v>5</v>
      </c>
      <c r="B43" s="23" t="s">
        <v>608</v>
      </c>
      <c r="C43" s="177"/>
      <c r="D43" s="177"/>
      <c r="E43" s="177"/>
      <c r="F43" s="178">
        <v>181.7022</v>
      </c>
      <c r="G43" s="178"/>
      <c r="H43" s="178">
        <v>181.7022</v>
      </c>
      <c r="I43" s="179"/>
      <c r="J43" s="179"/>
      <c r="K43" s="176"/>
    </row>
    <row r="44" spans="1:11" ht="15.75">
      <c r="A44" s="22">
        <v>6</v>
      </c>
      <c r="B44" s="21" t="s">
        <v>503</v>
      </c>
      <c r="C44" s="177"/>
      <c r="D44" s="177"/>
      <c r="E44" s="177"/>
      <c r="F44" s="178">
        <v>53.9218</v>
      </c>
      <c r="G44" s="178">
        <v>53.9218</v>
      </c>
      <c r="H44" s="178"/>
      <c r="I44" s="179"/>
      <c r="J44" s="179"/>
      <c r="K44" s="176"/>
    </row>
    <row r="45" spans="1:11" ht="15.75">
      <c r="A45" s="44" t="s">
        <v>50</v>
      </c>
      <c r="B45" s="45" t="s">
        <v>295</v>
      </c>
      <c r="C45" s="174">
        <f aca="true" t="shared" si="9" ref="C45:H45">SUM(C46,C54)</f>
        <v>620965</v>
      </c>
      <c r="D45" s="174">
        <f t="shared" si="9"/>
        <v>620965</v>
      </c>
      <c r="E45" s="174">
        <f t="shared" si="9"/>
        <v>0</v>
      </c>
      <c r="F45" s="175">
        <f t="shared" si="9"/>
        <v>992897.7967569999</v>
      </c>
      <c r="G45" s="175">
        <f t="shared" si="9"/>
        <v>875904.0197679999</v>
      </c>
      <c r="H45" s="175">
        <f t="shared" si="9"/>
        <v>116993.776989</v>
      </c>
      <c r="I45" s="176">
        <f aca="true" t="shared" si="10" ref="I45:J48">F45/C45</f>
        <v>1.598959356416223</v>
      </c>
      <c r="J45" s="176">
        <f t="shared" si="10"/>
        <v>1.4105529615485572</v>
      </c>
      <c r="K45" s="176"/>
    </row>
    <row r="46" spans="1:11" ht="15.75">
      <c r="A46" s="22" t="s">
        <v>291</v>
      </c>
      <c r="B46" s="23" t="s">
        <v>294</v>
      </c>
      <c r="C46" s="174">
        <f aca="true" t="shared" si="11" ref="C46:H46">SUM(C47:C49)</f>
        <v>562059</v>
      </c>
      <c r="D46" s="174">
        <f t="shared" si="11"/>
        <v>562059</v>
      </c>
      <c r="E46" s="174">
        <f t="shared" si="11"/>
        <v>0</v>
      </c>
      <c r="F46" s="175">
        <f t="shared" si="11"/>
        <v>917146.4760799999</v>
      </c>
      <c r="G46" s="175">
        <f t="shared" si="11"/>
        <v>811292.1019619999</v>
      </c>
      <c r="H46" s="175">
        <f t="shared" si="11"/>
        <v>105854.374118</v>
      </c>
      <c r="I46" s="176">
        <f t="shared" si="10"/>
        <v>1.6317619254918077</v>
      </c>
      <c r="J46" s="176">
        <f t="shared" si="10"/>
        <v>1.44342871826979</v>
      </c>
      <c r="K46" s="176"/>
    </row>
    <row r="47" spans="1:11" ht="15.75">
      <c r="A47" s="23" t="s">
        <v>292</v>
      </c>
      <c r="B47" s="23" t="s">
        <v>610</v>
      </c>
      <c r="C47" s="177">
        <v>315769</v>
      </c>
      <c r="D47" s="177">
        <v>315769</v>
      </c>
      <c r="E47" s="177"/>
      <c r="F47" s="175">
        <v>319116.864732</v>
      </c>
      <c r="G47" s="175">
        <v>239868.039796</v>
      </c>
      <c r="H47" s="175">
        <v>79248.824936</v>
      </c>
      <c r="I47" s="176">
        <f t="shared" si="10"/>
        <v>1.0106022590311272</v>
      </c>
      <c r="J47" s="176">
        <f t="shared" si="10"/>
        <v>0.7596313754548419</v>
      </c>
      <c r="K47" s="176"/>
    </row>
    <row r="48" spans="1:11" ht="15.75">
      <c r="A48" s="23" t="s">
        <v>293</v>
      </c>
      <c r="B48" s="23" t="s">
        <v>504</v>
      </c>
      <c r="C48" s="174">
        <v>246290</v>
      </c>
      <c r="D48" s="174">
        <v>246290</v>
      </c>
      <c r="E48" s="174"/>
      <c r="F48" s="175">
        <v>310989.814957</v>
      </c>
      <c r="G48" s="175">
        <v>284384.265775</v>
      </c>
      <c r="H48" s="175">
        <v>26605.549182</v>
      </c>
      <c r="I48" s="176">
        <f t="shared" si="10"/>
        <v>1.2626976936010395</v>
      </c>
      <c r="J48" s="176">
        <f t="shared" si="10"/>
        <v>1.1546724015388363</v>
      </c>
      <c r="K48" s="176"/>
    </row>
    <row r="49" spans="1:11" ht="15.75">
      <c r="A49" s="23" t="s">
        <v>296</v>
      </c>
      <c r="B49" s="23" t="s">
        <v>612</v>
      </c>
      <c r="C49" s="177"/>
      <c r="D49" s="177"/>
      <c r="E49" s="177"/>
      <c r="F49" s="175">
        <v>287039.796391</v>
      </c>
      <c r="G49" s="175">
        <v>287039.796391</v>
      </c>
      <c r="H49" s="175"/>
      <c r="I49" s="176"/>
      <c r="J49" s="176"/>
      <c r="K49" s="176"/>
    </row>
    <row r="50" spans="1:11" ht="15.75">
      <c r="A50" s="24">
        <v>1</v>
      </c>
      <c r="B50" s="24" t="s">
        <v>505</v>
      </c>
      <c r="C50" s="177"/>
      <c r="D50" s="177"/>
      <c r="E50" s="177"/>
      <c r="F50" s="178">
        <v>163025.382188</v>
      </c>
      <c r="G50" s="178">
        <v>163025.382188</v>
      </c>
      <c r="H50" s="178"/>
      <c r="I50" s="176"/>
      <c r="J50" s="176"/>
      <c r="K50" s="176"/>
    </row>
    <row r="51" spans="1:11" ht="15.75">
      <c r="A51" s="24">
        <v>2</v>
      </c>
      <c r="B51" s="24" t="s">
        <v>506</v>
      </c>
      <c r="C51" s="177"/>
      <c r="D51" s="177"/>
      <c r="E51" s="177"/>
      <c r="F51" s="178">
        <v>9237.472452</v>
      </c>
      <c r="G51" s="178">
        <v>9237.472452</v>
      </c>
      <c r="H51" s="178"/>
      <c r="I51" s="176"/>
      <c r="J51" s="176"/>
      <c r="K51" s="176"/>
    </row>
    <row r="52" spans="1:11" ht="15.75">
      <c r="A52" s="24">
        <v>3</v>
      </c>
      <c r="B52" s="24" t="s">
        <v>615</v>
      </c>
      <c r="C52" s="177"/>
      <c r="D52" s="177"/>
      <c r="E52" s="177"/>
      <c r="F52" s="178">
        <v>112239.83887</v>
      </c>
      <c r="G52" s="178">
        <v>112239.83887</v>
      </c>
      <c r="H52" s="178"/>
      <c r="I52" s="176"/>
      <c r="J52" s="176"/>
      <c r="K52" s="176"/>
    </row>
    <row r="53" spans="1:11" ht="15.75">
      <c r="A53" s="24">
        <v>4</v>
      </c>
      <c r="B53" s="24" t="s">
        <v>616</v>
      </c>
      <c r="C53" s="177"/>
      <c r="D53" s="177"/>
      <c r="E53" s="177"/>
      <c r="F53" s="178">
        <v>2537.102881</v>
      </c>
      <c r="G53" s="178">
        <v>2537.102881</v>
      </c>
      <c r="H53" s="178"/>
      <c r="I53" s="176"/>
      <c r="J53" s="176"/>
      <c r="K53" s="176"/>
    </row>
    <row r="54" spans="1:11" ht="15.75">
      <c r="A54" s="184" t="s">
        <v>297</v>
      </c>
      <c r="B54" s="185" t="s">
        <v>617</v>
      </c>
      <c r="C54" s="174">
        <f>SUM(C55:C63,C64:C77)</f>
        <v>58906</v>
      </c>
      <c r="D54" s="174">
        <f>SUM(D55:D63,D64:D77)</f>
        <v>58906</v>
      </c>
      <c r="E54" s="174">
        <f>SUM(E55:E63,E64:E77)</f>
        <v>0</v>
      </c>
      <c r="F54" s="175">
        <f>SUM(F55:F77)</f>
        <v>75751.320677</v>
      </c>
      <c r="G54" s="175">
        <f>SUM(G55:G77)</f>
        <v>64611.917806000005</v>
      </c>
      <c r="H54" s="175">
        <f>SUM(H55:H77)</f>
        <v>11139.402871</v>
      </c>
      <c r="I54" s="176">
        <f>F54/C54</f>
        <v>1.2859695222388212</v>
      </c>
      <c r="J54" s="176">
        <f>G54/D54</f>
        <v>1.0968647982548467</v>
      </c>
      <c r="K54" s="176"/>
    </row>
    <row r="55" spans="1:11" ht="30" customHeight="1">
      <c r="A55" s="40">
        <v>1</v>
      </c>
      <c r="B55" s="26" t="s">
        <v>507</v>
      </c>
      <c r="C55" s="177"/>
      <c r="D55" s="177"/>
      <c r="E55" s="177"/>
      <c r="F55" s="178">
        <v>2161.403</v>
      </c>
      <c r="G55" s="178">
        <v>2087.1</v>
      </c>
      <c r="H55" s="178">
        <v>74.303</v>
      </c>
      <c r="I55" s="176"/>
      <c r="J55" s="176"/>
      <c r="K55" s="176"/>
    </row>
    <row r="56" spans="1:11" ht="19.5" customHeight="1">
      <c r="A56" s="149">
        <v>2</v>
      </c>
      <c r="B56" s="33" t="s">
        <v>618</v>
      </c>
      <c r="C56" s="177"/>
      <c r="D56" s="177"/>
      <c r="E56" s="177"/>
      <c r="F56" s="178">
        <v>5644.8845</v>
      </c>
      <c r="G56" s="178">
        <v>5644.8845</v>
      </c>
      <c r="H56" s="178"/>
      <c r="I56" s="176"/>
      <c r="J56" s="176"/>
      <c r="K56" s="176"/>
    </row>
    <row r="57" spans="1:11" ht="19.5" customHeight="1">
      <c r="A57" s="40">
        <v>3</v>
      </c>
      <c r="B57" s="33" t="s">
        <v>619</v>
      </c>
      <c r="C57" s="177"/>
      <c r="D57" s="177"/>
      <c r="E57" s="177"/>
      <c r="F57" s="178">
        <v>800</v>
      </c>
      <c r="G57" s="178">
        <v>720</v>
      </c>
      <c r="H57" s="178">
        <v>80</v>
      </c>
      <c r="I57" s="176"/>
      <c r="J57" s="176"/>
      <c r="K57" s="176"/>
    </row>
    <row r="58" spans="1:11" ht="37.5" customHeight="1">
      <c r="A58" s="149">
        <v>4</v>
      </c>
      <c r="B58" s="26" t="s">
        <v>441</v>
      </c>
      <c r="C58" s="177"/>
      <c r="D58" s="177"/>
      <c r="E58" s="177"/>
      <c r="F58" s="178">
        <v>650.4756</v>
      </c>
      <c r="G58" s="178">
        <v>514.5213</v>
      </c>
      <c r="H58" s="178">
        <v>135.9543</v>
      </c>
      <c r="I58" s="176"/>
      <c r="J58" s="176"/>
      <c r="K58" s="176"/>
    </row>
    <row r="59" spans="1:11" ht="19.5" customHeight="1">
      <c r="A59" s="40">
        <v>5</v>
      </c>
      <c r="B59" s="33" t="s">
        <v>501</v>
      </c>
      <c r="C59" s="177"/>
      <c r="D59" s="177"/>
      <c r="E59" s="177"/>
      <c r="F59" s="178">
        <v>5015.705712</v>
      </c>
      <c r="G59" s="178">
        <v>4399.432746</v>
      </c>
      <c r="H59" s="178">
        <v>616.272966</v>
      </c>
      <c r="I59" s="176"/>
      <c r="J59" s="176"/>
      <c r="K59" s="176"/>
    </row>
    <row r="60" spans="1:11" ht="26.25" customHeight="1">
      <c r="A60" s="149">
        <v>6</v>
      </c>
      <c r="B60" s="33" t="s">
        <v>621</v>
      </c>
      <c r="C60" s="177"/>
      <c r="D60" s="177"/>
      <c r="E60" s="177"/>
      <c r="F60" s="178">
        <v>26.349</v>
      </c>
      <c r="G60" s="178"/>
      <c r="H60" s="178">
        <v>26.349</v>
      </c>
      <c r="I60" s="176"/>
      <c r="J60" s="176"/>
      <c r="K60" s="176"/>
    </row>
    <row r="61" spans="1:11" ht="45" customHeight="1">
      <c r="A61" s="40">
        <v>7</v>
      </c>
      <c r="B61" s="26" t="s">
        <v>508</v>
      </c>
      <c r="C61" s="177"/>
      <c r="D61" s="177"/>
      <c r="E61" s="177"/>
      <c r="F61" s="178">
        <v>111.8</v>
      </c>
      <c r="G61" s="178"/>
      <c r="H61" s="178">
        <v>111.8</v>
      </c>
      <c r="I61" s="176"/>
      <c r="J61" s="176"/>
      <c r="K61" s="176"/>
    </row>
    <row r="62" spans="1:11" ht="54" customHeight="1">
      <c r="A62" s="149">
        <v>8</v>
      </c>
      <c r="B62" s="34" t="s">
        <v>121</v>
      </c>
      <c r="C62" s="177"/>
      <c r="D62" s="177"/>
      <c r="E62" s="177"/>
      <c r="F62" s="178">
        <v>32.977</v>
      </c>
      <c r="G62" s="178"/>
      <c r="H62" s="178">
        <v>32.977</v>
      </c>
      <c r="I62" s="176"/>
      <c r="J62" s="176"/>
      <c r="K62" s="176"/>
    </row>
    <row r="63" spans="1:11" ht="34.5" customHeight="1">
      <c r="A63" s="40">
        <v>9</v>
      </c>
      <c r="B63" s="26" t="s">
        <v>509</v>
      </c>
      <c r="C63" s="177"/>
      <c r="D63" s="177"/>
      <c r="E63" s="177"/>
      <c r="F63" s="178">
        <v>540</v>
      </c>
      <c r="G63" s="178">
        <v>540</v>
      </c>
      <c r="H63" s="178"/>
      <c r="I63" s="176"/>
      <c r="J63" s="176"/>
      <c r="K63" s="176"/>
    </row>
    <row r="64" spans="1:11" ht="36" customHeight="1">
      <c r="A64" s="149">
        <v>10</v>
      </c>
      <c r="B64" s="35" t="s">
        <v>623</v>
      </c>
      <c r="C64" s="177"/>
      <c r="D64" s="177"/>
      <c r="E64" s="177"/>
      <c r="F64" s="178">
        <v>7862.166868</v>
      </c>
      <c r="G64" s="178">
        <v>7862.166868</v>
      </c>
      <c r="H64" s="178"/>
      <c r="I64" s="176"/>
      <c r="J64" s="176"/>
      <c r="K64" s="176"/>
    </row>
    <row r="65" spans="1:11" ht="31.5">
      <c r="A65" s="40">
        <v>11</v>
      </c>
      <c r="B65" s="26" t="s">
        <v>510</v>
      </c>
      <c r="C65" s="177"/>
      <c r="D65" s="177"/>
      <c r="E65" s="177"/>
      <c r="F65" s="178">
        <v>4500</v>
      </c>
      <c r="G65" s="178">
        <v>4500</v>
      </c>
      <c r="H65" s="178"/>
      <c r="I65" s="176"/>
      <c r="J65" s="176"/>
      <c r="K65" s="176"/>
    </row>
    <row r="66" spans="1:11" ht="27" customHeight="1">
      <c r="A66" s="149">
        <v>12</v>
      </c>
      <c r="B66" s="33" t="s">
        <v>500</v>
      </c>
      <c r="C66" s="177">
        <v>2215</v>
      </c>
      <c r="D66" s="177">
        <v>2215</v>
      </c>
      <c r="E66" s="177"/>
      <c r="F66" s="178">
        <v>1040.2834</v>
      </c>
      <c r="G66" s="178">
        <v>986.2834</v>
      </c>
      <c r="H66" s="178">
        <v>54</v>
      </c>
      <c r="I66" s="176">
        <f>F66/C66</f>
        <v>0.4696539051918736</v>
      </c>
      <c r="J66" s="176"/>
      <c r="K66" s="176"/>
    </row>
    <row r="67" spans="1:11" ht="15.75">
      <c r="A67" s="40">
        <v>13</v>
      </c>
      <c r="B67" s="33" t="s">
        <v>442</v>
      </c>
      <c r="C67" s="177"/>
      <c r="D67" s="177"/>
      <c r="E67" s="177"/>
      <c r="F67" s="178">
        <v>10575.048326</v>
      </c>
      <c r="G67" s="178">
        <v>10575.048326</v>
      </c>
      <c r="H67" s="178"/>
      <c r="I67" s="176"/>
      <c r="J67" s="176"/>
      <c r="K67" s="176"/>
    </row>
    <row r="68" spans="1:11" ht="63" customHeight="1">
      <c r="A68" s="149">
        <v>14</v>
      </c>
      <c r="B68" s="26" t="s">
        <v>499</v>
      </c>
      <c r="C68" s="177"/>
      <c r="D68" s="177"/>
      <c r="E68" s="177"/>
      <c r="F68" s="178">
        <v>1723.408</v>
      </c>
      <c r="G68" s="178">
        <v>3.408</v>
      </c>
      <c r="H68" s="178">
        <v>1720</v>
      </c>
      <c r="I68" s="176"/>
      <c r="J68" s="176"/>
      <c r="K68" s="176"/>
    </row>
    <row r="69" spans="1:11" ht="15.75">
      <c r="A69" s="40">
        <v>15</v>
      </c>
      <c r="B69" s="25" t="s">
        <v>447</v>
      </c>
      <c r="C69" s="177"/>
      <c r="D69" s="177"/>
      <c r="E69" s="177"/>
      <c r="F69" s="178">
        <v>160.978585</v>
      </c>
      <c r="G69" s="178"/>
      <c r="H69" s="178">
        <v>160.978585</v>
      </c>
      <c r="I69" s="176"/>
      <c r="J69" s="176"/>
      <c r="K69" s="176"/>
    </row>
    <row r="70" spans="1:11" ht="15.75">
      <c r="A70" s="149">
        <v>16</v>
      </c>
      <c r="B70" s="25" t="s">
        <v>628</v>
      </c>
      <c r="C70" s="177">
        <v>1610</v>
      </c>
      <c r="D70" s="177">
        <v>1610</v>
      </c>
      <c r="E70" s="177"/>
      <c r="F70" s="178">
        <v>1022.998</v>
      </c>
      <c r="G70" s="178">
        <v>1022.998</v>
      </c>
      <c r="H70" s="178"/>
      <c r="I70" s="176">
        <f>F70/C70</f>
        <v>0.6354024844720497</v>
      </c>
      <c r="J70" s="176">
        <f>G70/D70</f>
        <v>0.6354024844720497</v>
      </c>
      <c r="K70" s="176"/>
    </row>
    <row r="71" spans="1:11" ht="15.75">
      <c r="A71" s="40">
        <v>17</v>
      </c>
      <c r="B71" s="25" t="s">
        <v>443</v>
      </c>
      <c r="C71" s="177">
        <v>50000</v>
      </c>
      <c r="D71" s="177">
        <v>50000</v>
      </c>
      <c r="E71" s="177"/>
      <c r="F71" s="178">
        <v>4344.647</v>
      </c>
      <c r="G71" s="178">
        <v>3583.328</v>
      </c>
      <c r="H71" s="178">
        <v>761.319</v>
      </c>
      <c r="I71" s="176">
        <f>F71/C71</f>
        <v>0.08689294</v>
      </c>
      <c r="J71" s="176">
        <f>G71/D71</f>
        <v>0.07166656</v>
      </c>
      <c r="K71" s="176"/>
    </row>
    <row r="72" spans="1:11" ht="15.75">
      <c r="A72" s="149">
        <v>18</v>
      </c>
      <c r="B72" s="36" t="s">
        <v>444</v>
      </c>
      <c r="C72" s="177"/>
      <c r="D72" s="177"/>
      <c r="E72" s="177"/>
      <c r="F72" s="178">
        <v>11096.66852</v>
      </c>
      <c r="G72" s="178">
        <v>4089.9495</v>
      </c>
      <c r="H72" s="178">
        <v>7006.7190200000005</v>
      </c>
      <c r="I72" s="176"/>
      <c r="J72" s="176"/>
      <c r="K72" s="176"/>
    </row>
    <row r="73" spans="1:11" ht="15.75">
      <c r="A73" s="40">
        <v>19</v>
      </c>
      <c r="B73" s="25" t="s">
        <v>445</v>
      </c>
      <c r="C73" s="177"/>
      <c r="D73" s="177"/>
      <c r="E73" s="177"/>
      <c r="F73" s="178">
        <v>580</v>
      </c>
      <c r="G73" s="178">
        <v>580</v>
      </c>
      <c r="H73" s="178"/>
      <c r="I73" s="176"/>
      <c r="J73" s="176"/>
      <c r="K73" s="176"/>
    </row>
    <row r="74" spans="1:11" ht="15.75">
      <c r="A74" s="149">
        <v>20</v>
      </c>
      <c r="B74" s="25" t="s">
        <v>446</v>
      </c>
      <c r="C74" s="177">
        <v>221</v>
      </c>
      <c r="D74" s="177">
        <v>221</v>
      </c>
      <c r="E74" s="177"/>
      <c r="F74" s="178">
        <v>221</v>
      </c>
      <c r="G74" s="178">
        <v>221</v>
      </c>
      <c r="H74" s="178"/>
      <c r="I74" s="176">
        <f>F74/C74</f>
        <v>1</v>
      </c>
      <c r="J74" s="176"/>
      <c r="K74" s="176"/>
    </row>
    <row r="75" spans="1:11" ht="15.75">
      <c r="A75" s="40">
        <v>21</v>
      </c>
      <c r="B75" s="25" t="s">
        <v>353</v>
      </c>
      <c r="C75" s="177">
        <v>4860</v>
      </c>
      <c r="D75" s="177">
        <v>4860</v>
      </c>
      <c r="E75" s="177"/>
      <c r="F75" s="178">
        <v>5037.422168</v>
      </c>
      <c r="G75" s="178">
        <v>5037.422168</v>
      </c>
      <c r="H75" s="178"/>
      <c r="I75" s="176">
        <f>F75/C75</f>
        <v>1.0365066189300411</v>
      </c>
      <c r="J75" s="176">
        <f>G75/D75</f>
        <v>1.0365066189300411</v>
      </c>
      <c r="K75" s="176"/>
    </row>
    <row r="76" spans="1:11" ht="15.75">
      <c r="A76" s="149">
        <v>22</v>
      </c>
      <c r="B76" s="26" t="s">
        <v>354</v>
      </c>
      <c r="C76" s="177"/>
      <c r="D76" s="177"/>
      <c r="E76" s="177"/>
      <c r="F76" s="178">
        <v>12244.374998</v>
      </c>
      <c r="G76" s="178">
        <v>12244.374998</v>
      </c>
      <c r="H76" s="178"/>
      <c r="I76" s="179"/>
      <c r="J76" s="179"/>
      <c r="K76" s="179"/>
    </row>
    <row r="77" spans="1:11" ht="15.75">
      <c r="A77" s="40">
        <v>23</v>
      </c>
      <c r="B77" s="25" t="s">
        <v>355</v>
      </c>
      <c r="C77" s="177"/>
      <c r="D77" s="177"/>
      <c r="E77" s="177"/>
      <c r="F77" s="178">
        <v>358.73</v>
      </c>
      <c r="G77" s="178"/>
      <c r="H77" s="178">
        <v>358.73</v>
      </c>
      <c r="I77" s="179"/>
      <c r="J77" s="179"/>
      <c r="K77" s="179"/>
    </row>
    <row r="78" spans="1:11" ht="15.75">
      <c r="A78" s="171" t="s">
        <v>53</v>
      </c>
      <c r="B78" s="186" t="s">
        <v>289</v>
      </c>
      <c r="C78" s="187"/>
      <c r="D78" s="187"/>
      <c r="E78" s="187"/>
      <c r="F78" s="188">
        <f>SUM(G78:H78)</f>
        <v>1771731.919738</v>
      </c>
      <c r="G78" s="188">
        <v>1270567.831278</v>
      </c>
      <c r="H78" s="188">
        <f>419772.438406+81391.650054</f>
        <v>501164.08846</v>
      </c>
      <c r="I78" s="189"/>
      <c r="J78" s="189"/>
      <c r="K78" s="187"/>
    </row>
    <row r="79" spans="1:11" ht="60" customHeight="1">
      <c r="A79" s="648"/>
      <c r="B79" s="648"/>
      <c r="C79" s="648"/>
      <c r="D79" s="648"/>
      <c r="E79" s="648"/>
      <c r="F79" s="648"/>
      <c r="G79" s="648"/>
      <c r="H79" s="648"/>
      <c r="I79" s="648"/>
      <c r="J79" s="648"/>
      <c r="K79" s="648"/>
    </row>
  </sheetData>
  <sheetProtection/>
  <mergeCells count="12">
    <mergeCell ref="J4:K4"/>
    <mergeCell ref="H1:K1"/>
    <mergeCell ref="A2:K2"/>
    <mergeCell ref="A3:K3"/>
    <mergeCell ref="A79:K79"/>
    <mergeCell ref="A5:A6"/>
    <mergeCell ref="B5:B6"/>
    <mergeCell ref="C5:C6"/>
    <mergeCell ref="D5:E5"/>
    <mergeCell ref="F5:F6"/>
    <mergeCell ref="G5:H5"/>
    <mergeCell ref="I5:K5"/>
  </mergeCells>
  <printOptions horizontalCentered="1"/>
  <pageMargins left="0" right="0" top="0.4" bottom="0.31" header="0.39" footer="0.32"/>
  <pageSetup horizontalDpi="300" verticalDpi="300" orientation="landscape" paperSize="9" scale="70" r:id="rId1"/>
</worksheet>
</file>

<file path=xl/worksheets/sheet14.xml><?xml version="1.0" encoding="utf-8"?>
<worksheet xmlns="http://schemas.openxmlformats.org/spreadsheetml/2006/main" xmlns:r="http://schemas.openxmlformats.org/officeDocument/2006/relationships">
  <dimension ref="A1:X103"/>
  <sheetViews>
    <sheetView zoomScalePageLayoutView="0" workbookViewId="0" topLeftCell="A1">
      <pane xSplit="2" ySplit="8" topLeftCell="L9" activePane="bottomRight" state="frozen"/>
      <selection pane="topLeft" activeCell="A1" sqref="A1"/>
      <selection pane="topRight" activeCell="C1" sqref="C1"/>
      <selection pane="bottomLeft" activeCell="A14" sqref="A14"/>
      <selection pane="bottomRight" activeCell="O11" sqref="O11"/>
    </sheetView>
  </sheetViews>
  <sheetFormatPr defaultColWidth="9.125" defaultRowHeight="14.25"/>
  <cols>
    <col min="1" max="1" width="6.00390625" style="403" customWidth="1"/>
    <col min="2" max="2" width="32.625" style="403" customWidth="1"/>
    <col min="3" max="3" width="11.25390625" style="403" bestFit="1" customWidth="1"/>
    <col min="4" max="4" width="10.375" style="404" customWidth="1"/>
    <col min="5" max="5" width="10.875" style="404" customWidth="1"/>
    <col min="6" max="6" width="9.875" style="404" customWidth="1"/>
    <col min="7" max="7" width="11.375" style="404" customWidth="1"/>
    <col min="8" max="8" width="10.00390625" style="404" hidden="1" customWidth="1"/>
    <col min="9" max="9" width="9.875" style="403" bestFit="1" customWidth="1"/>
    <col min="10" max="10" width="13.00390625" style="403" customWidth="1"/>
    <col min="11" max="11" width="11.375" style="403" customWidth="1"/>
    <col min="12" max="12" width="10.50390625" style="403" customWidth="1"/>
    <col min="13" max="13" width="9.00390625" style="403" customWidth="1"/>
    <col min="14" max="14" width="9.50390625" style="403" customWidth="1"/>
    <col min="15" max="15" width="10.50390625" style="403" customWidth="1"/>
    <col min="16" max="16" width="10.25390625" style="403" customWidth="1"/>
    <col min="17" max="17" width="11.375" style="403" customWidth="1"/>
    <col min="18" max="20" width="15.625" style="403" hidden="1" customWidth="1"/>
    <col min="21" max="21" width="11.25390625" style="403" customWidth="1"/>
    <col min="22" max="22" width="9.125" style="403" customWidth="1"/>
    <col min="23" max="23" width="8.375" style="403" customWidth="1"/>
    <col min="24" max="24" width="10.375" style="403" bestFit="1" customWidth="1"/>
    <col min="25" max="16384" width="9.125" style="403" customWidth="1"/>
  </cols>
  <sheetData>
    <row r="1" spans="16:23" ht="15.75">
      <c r="P1" s="660" t="s">
        <v>323</v>
      </c>
      <c r="Q1" s="660"/>
      <c r="R1" s="660"/>
      <c r="S1" s="660"/>
      <c r="T1" s="660"/>
      <c r="U1" s="660"/>
      <c r="V1" s="660"/>
      <c r="W1" s="660"/>
    </row>
    <row r="2" spans="1:23" ht="15.75">
      <c r="A2" s="668" t="s">
        <v>635</v>
      </c>
      <c r="B2" s="668"/>
      <c r="C2" s="668"/>
      <c r="D2" s="668"/>
      <c r="E2" s="668"/>
      <c r="F2" s="668"/>
      <c r="G2" s="668"/>
      <c r="H2" s="668"/>
      <c r="I2" s="668"/>
      <c r="J2" s="668"/>
      <c r="K2" s="668"/>
      <c r="L2" s="668"/>
      <c r="M2" s="668"/>
      <c r="N2" s="668"/>
      <c r="O2" s="668"/>
      <c r="P2" s="668"/>
      <c r="Q2" s="668"/>
      <c r="R2" s="668"/>
      <c r="S2" s="668"/>
      <c r="T2" s="668"/>
      <c r="U2" s="668"/>
      <c r="V2" s="668"/>
      <c r="W2" s="668"/>
    </row>
    <row r="3" spans="1:23" ht="18.75">
      <c r="A3" s="597" t="s">
        <v>680</v>
      </c>
      <c r="B3" s="597"/>
      <c r="C3" s="597"/>
      <c r="D3" s="597"/>
      <c r="E3" s="597"/>
      <c r="F3" s="597"/>
      <c r="G3" s="597"/>
      <c r="H3" s="597"/>
      <c r="I3" s="597"/>
      <c r="J3" s="597"/>
      <c r="K3" s="597"/>
      <c r="L3" s="597"/>
      <c r="M3" s="597"/>
      <c r="N3" s="597"/>
      <c r="O3" s="597"/>
      <c r="P3" s="597"/>
      <c r="Q3" s="597"/>
      <c r="R3" s="597"/>
      <c r="S3" s="597"/>
      <c r="T3" s="597"/>
      <c r="U3" s="597"/>
      <c r="V3" s="597"/>
      <c r="W3" s="597"/>
    </row>
    <row r="4" spans="2:23" ht="21" customHeight="1">
      <c r="B4" s="404"/>
      <c r="K4" s="405"/>
      <c r="L4" s="405"/>
      <c r="M4" s="405"/>
      <c r="N4" s="560"/>
      <c r="O4" s="560"/>
      <c r="P4" s="560"/>
      <c r="Q4" s="560"/>
      <c r="R4" s="560"/>
      <c r="S4" s="560"/>
      <c r="T4" s="560"/>
      <c r="U4" s="560"/>
      <c r="V4" s="659" t="s">
        <v>48</v>
      </c>
      <c r="W4" s="659"/>
    </row>
    <row r="5" spans="1:23" s="333" customFormat="1" ht="27.75" customHeight="1">
      <c r="A5" s="663" t="s">
        <v>43</v>
      </c>
      <c r="B5" s="663" t="s">
        <v>71</v>
      </c>
      <c r="C5" s="669" t="s">
        <v>429</v>
      </c>
      <c r="D5" s="670"/>
      <c r="E5" s="670"/>
      <c r="F5" s="670"/>
      <c r="G5" s="670"/>
      <c r="H5" s="670"/>
      <c r="I5" s="669" t="s">
        <v>4</v>
      </c>
      <c r="J5" s="670"/>
      <c r="K5" s="670"/>
      <c r="L5" s="670"/>
      <c r="M5" s="670"/>
      <c r="N5" s="670"/>
      <c r="O5" s="670"/>
      <c r="P5" s="670"/>
      <c r="Q5" s="671"/>
      <c r="R5" s="385"/>
      <c r="S5" s="385"/>
      <c r="T5" s="385"/>
      <c r="U5" s="635" t="s">
        <v>563</v>
      </c>
      <c r="V5" s="635"/>
      <c r="W5" s="635"/>
    </row>
    <row r="6" spans="1:23" ht="23.25" customHeight="1">
      <c r="A6" s="663"/>
      <c r="B6" s="663"/>
      <c r="C6" s="663" t="s">
        <v>67</v>
      </c>
      <c r="D6" s="666" t="s">
        <v>561</v>
      </c>
      <c r="E6" s="662" t="s">
        <v>58</v>
      </c>
      <c r="F6" s="666" t="s">
        <v>466</v>
      </c>
      <c r="G6" s="666" t="s">
        <v>539</v>
      </c>
      <c r="H6" s="666" t="s">
        <v>21</v>
      </c>
      <c r="I6" s="663" t="s">
        <v>67</v>
      </c>
      <c r="J6" s="664" t="s">
        <v>482</v>
      </c>
      <c r="K6" s="663" t="s">
        <v>483</v>
      </c>
      <c r="L6" s="664" t="s">
        <v>466</v>
      </c>
      <c r="M6" s="664" t="s">
        <v>539</v>
      </c>
      <c r="N6" s="672" t="s">
        <v>264</v>
      </c>
      <c r="O6" s="673"/>
      <c r="P6" s="674"/>
      <c r="Q6" s="664" t="s">
        <v>311</v>
      </c>
      <c r="R6" s="664" t="s">
        <v>459</v>
      </c>
      <c r="S6" s="664" t="s">
        <v>460</v>
      </c>
      <c r="T6" s="664" t="s">
        <v>484</v>
      </c>
      <c r="U6" s="663" t="s">
        <v>67</v>
      </c>
      <c r="V6" s="663" t="s">
        <v>58</v>
      </c>
      <c r="W6" s="664" t="s">
        <v>21</v>
      </c>
    </row>
    <row r="7" spans="1:23" ht="44.25" customHeight="1">
      <c r="A7" s="663"/>
      <c r="B7" s="663"/>
      <c r="C7" s="663"/>
      <c r="D7" s="667"/>
      <c r="E7" s="662"/>
      <c r="F7" s="667"/>
      <c r="G7" s="667"/>
      <c r="H7" s="667"/>
      <c r="I7" s="663"/>
      <c r="J7" s="665"/>
      <c r="K7" s="663"/>
      <c r="L7" s="665"/>
      <c r="M7" s="665"/>
      <c r="N7" s="387" t="s">
        <v>67</v>
      </c>
      <c r="O7" s="387" t="s">
        <v>343</v>
      </c>
      <c r="P7" s="388" t="s">
        <v>265</v>
      </c>
      <c r="Q7" s="665"/>
      <c r="R7" s="665"/>
      <c r="S7" s="665"/>
      <c r="T7" s="665"/>
      <c r="U7" s="663"/>
      <c r="V7" s="663"/>
      <c r="W7" s="665"/>
    </row>
    <row r="8" spans="1:23" s="406" customFormat="1" ht="12.75">
      <c r="A8" s="384" t="s">
        <v>45</v>
      </c>
      <c r="B8" s="384" t="s">
        <v>46</v>
      </c>
      <c r="C8" s="384">
        <v>1</v>
      </c>
      <c r="D8" s="386">
        <v>2</v>
      </c>
      <c r="E8" s="384">
        <v>3</v>
      </c>
      <c r="F8" s="386">
        <v>4</v>
      </c>
      <c r="G8" s="384">
        <v>5</v>
      </c>
      <c r="H8" s="386">
        <v>6</v>
      </c>
      <c r="I8" s="384">
        <v>7</v>
      </c>
      <c r="J8" s="386">
        <v>8</v>
      </c>
      <c r="K8" s="384">
        <v>9</v>
      </c>
      <c r="L8" s="386">
        <v>10</v>
      </c>
      <c r="M8" s="384">
        <v>11</v>
      </c>
      <c r="N8" s="386">
        <v>12</v>
      </c>
      <c r="O8" s="384">
        <v>13</v>
      </c>
      <c r="P8" s="386">
        <v>14</v>
      </c>
      <c r="Q8" s="384">
        <v>15</v>
      </c>
      <c r="R8" s="386">
        <v>16</v>
      </c>
      <c r="S8" s="384">
        <v>17</v>
      </c>
      <c r="T8" s="386">
        <v>18</v>
      </c>
      <c r="U8" s="384">
        <v>19</v>
      </c>
      <c r="V8" s="386">
        <v>20</v>
      </c>
      <c r="W8" s="384">
        <v>21</v>
      </c>
    </row>
    <row r="9" spans="1:24" s="409" customFormat="1" ht="24.75" customHeight="1">
      <c r="A9" s="389"/>
      <c r="B9" s="389" t="s">
        <v>256</v>
      </c>
      <c r="C9" s="391">
        <f aca="true" t="shared" si="0" ref="C9:T9">SUM(C10,C78,C92)</f>
        <v>1363494</v>
      </c>
      <c r="D9" s="391">
        <f t="shared" si="0"/>
        <v>14792</v>
      </c>
      <c r="E9" s="391">
        <f t="shared" si="0"/>
        <v>1343885</v>
      </c>
      <c r="F9" s="391">
        <f t="shared" si="0"/>
        <v>3817</v>
      </c>
      <c r="G9" s="391">
        <f t="shared" si="0"/>
        <v>1000</v>
      </c>
      <c r="H9" s="390">
        <f t="shared" si="0"/>
        <v>0</v>
      </c>
      <c r="I9" s="390">
        <f t="shared" si="0"/>
        <v>3701046.7634579996</v>
      </c>
      <c r="J9" s="390">
        <f t="shared" si="0"/>
        <v>1369224.8582220003</v>
      </c>
      <c r="K9" s="390">
        <f t="shared" si="0"/>
        <v>1943079.076985999</v>
      </c>
      <c r="L9" s="390">
        <f t="shared" si="0"/>
        <v>1681.2276229999998</v>
      </c>
      <c r="M9" s="390">
        <f t="shared" si="0"/>
        <v>1000</v>
      </c>
      <c r="N9" s="390">
        <f t="shared" si="0"/>
        <v>70212.50071299999</v>
      </c>
      <c r="O9" s="390">
        <f t="shared" si="0"/>
        <v>61844.152799999996</v>
      </c>
      <c r="P9" s="390">
        <f t="shared" si="0"/>
        <v>8368.347913</v>
      </c>
      <c r="Q9" s="390">
        <f t="shared" si="0"/>
        <v>315849.099914</v>
      </c>
      <c r="R9" s="392">
        <f t="shared" si="0"/>
        <v>93731.317615</v>
      </c>
      <c r="S9" s="392">
        <f t="shared" si="0"/>
        <v>4684.168248</v>
      </c>
      <c r="T9" s="392">
        <f t="shared" si="0"/>
        <v>217433.614051</v>
      </c>
      <c r="U9" s="407">
        <f aca="true" t="shared" si="1" ref="U9:U38">I9/C9</f>
        <v>2.714384341594462</v>
      </c>
      <c r="V9" s="407">
        <f aca="true" t="shared" si="2" ref="V9:V38">K9/E9</f>
        <v>1.445867077157643</v>
      </c>
      <c r="W9" s="393"/>
      <c r="X9" s="408"/>
    </row>
    <row r="10" spans="1:24" s="409" customFormat="1" ht="24.75" customHeight="1">
      <c r="A10" s="260">
        <v>1</v>
      </c>
      <c r="B10" s="261" t="s">
        <v>120</v>
      </c>
      <c r="C10" s="395">
        <f>SUM(C11:C77)</f>
        <v>1352273</v>
      </c>
      <c r="D10" s="395">
        <f aca="true" t="shared" si="3" ref="D10:Q10">SUM(D11:D77)</f>
        <v>14792</v>
      </c>
      <c r="E10" s="395">
        <f t="shared" si="3"/>
        <v>1332664</v>
      </c>
      <c r="F10" s="395">
        <f t="shared" si="3"/>
        <v>3817</v>
      </c>
      <c r="G10" s="395">
        <f t="shared" si="3"/>
        <v>1000</v>
      </c>
      <c r="H10" s="394">
        <f t="shared" si="3"/>
        <v>0</v>
      </c>
      <c r="I10" s="394">
        <f>SUM(I11:I77)</f>
        <v>2851082.657893999</v>
      </c>
      <c r="J10" s="394">
        <f t="shared" si="3"/>
        <v>691385.5075150001</v>
      </c>
      <c r="K10" s="394">
        <f t="shared" si="3"/>
        <v>1927997.928628999</v>
      </c>
      <c r="L10" s="394">
        <f t="shared" si="3"/>
        <v>1681.2276229999998</v>
      </c>
      <c r="M10" s="394">
        <f t="shared" si="3"/>
        <v>1000</v>
      </c>
      <c r="N10" s="394">
        <f t="shared" si="3"/>
        <v>70212.50071299999</v>
      </c>
      <c r="O10" s="394">
        <f t="shared" si="3"/>
        <v>61844.152799999996</v>
      </c>
      <c r="P10" s="394">
        <f t="shared" si="3"/>
        <v>8368.347913</v>
      </c>
      <c r="Q10" s="394">
        <f t="shared" si="3"/>
        <v>158805.49341400003</v>
      </c>
      <c r="R10" s="396">
        <f>SUM(R11:R77)</f>
        <v>93697.136115</v>
      </c>
      <c r="S10" s="396">
        <f>SUM(S11:S77)</f>
        <v>4684.168248</v>
      </c>
      <c r="T10" s="396">
        <f>SUM(T11:T77)</f>
        <v>60424.189051</v>
      </c>
      <c r="U10" s="407">
        <f t="shared" si="1"/>
        <v>2.1083632209576018</v>
      </c>
      <c r="V10" s="407">
        <f t="shared" si="2"/>
        <v>1.44672470227229</v>
      </c>
      <c r="W10" s="397"/>
      <c r="X10" s="408"/>
    </row>
    <row r="11" spans="1:24" s="413" customFormat="1" ht="24.75" customHeight="1">
      <c r="A11" s="266">
        <v>1</v>
      </c>
      <c r="B11" s="267" t="s">
        <v>190</v>
      </c>
      <c r="C11" s="399">
        <f>SUM(D11:H11)</f>
        <v>71760</v>
      </c>
      <c r="D11" s="399"/>
      <c r="E11" s="410">
        <v>71760</v>
      </c>
      <c r="F11" s="399"/>
      <c r="G11" s="399"/>
      <c r="H11" s="398"/>
      <c r="I11" s="398">
        <f aca="true" t="shared" si="4" ref="I11:I43">SUM(J11:M11,N11,Q11)</f>
        <v>94335.315867</v>
      </c>
      <c r="J11" s="398">
        <v>13456.9184</v>
      </c>
      <c r="K11" s="398">
        <f>75936.397467+3500+1292</f>
        <v>80728.397467</v>
      </c>
      <c r="L11" s="398"/>
      <c r="M11" s="398"/>
      <c r="N11" s="398">
        <f>SUM(O11:P11)</f>
        <v>150</v>
      </c>
      <c r="O11" s="398"/>
      <c r="P11" s="398">
        <v>150</v>
      </c>
      <c r="Q11" s="398">
        <f>SUM(R11:T11)</f>
        <v>0</v>
      </c>
      <c r="R11" s="400"/>
      <c r="S11" s="400"/>
      <c r="T11" s="400"/>
      <c r="U11" s="411">
        <f t="shared" si="1"/>
        <v>1.3145947027173912</v>
      </c>
      <c r="V11" s="411">
        <f t="shared" si="2"/>
        <v>1.1249776681577481</v>
      </c>
      <c r="W11" s="401"/>
      <c r="X11" s="412"/>
    </row>
    <row r="12" spans="1:23" s="418" customFormat="1" ht="24.75" customHeight="1">
      <c r="A12" s="266">
        <v>2</v>
      </c>
      <c r="B12" s="286" t="s">
        <v>454</v>
      </c>
      <c r="C12" s="399">
        <f aca="true" t="shared" si="5" ref="C12:C77">SUM(D12:H12)</f>
        <v>26538</v>
      </c>
      <c r="D12" s="414"/>
      <c r="E12" s="410">
        <v>26538</v>
      </c>
      <c r="F12" s="414"/>
      <c r="G12" s="414"/>
      <c r="H12" s="415"/>
      <c r="I12" s="398">
        <f t="shared" si="4"/>
        <v>44823.586200000005</v>
      </c>
      <c r="J12" s="415">
        <v>17696.917</v>
      </c>
      <c r="K12" s="415">
        <f>24733.186591+2196.917+196</f>
        <v>27126.103591000003</v>
      </c>
      <c r="L12" s="415"/>
      <c r="M12" s="415"/>
      <c r="N12" s="398">
        <f aca="true" t="shared" si="6" ref="N12:N91">SUM(O12:P12)</f>
        <v>0</v>
      </c>
      <c r="O12" s="415"/>
      <c r="P12" s="415"/>
      <c r="Q12" s="398">
        <f>SUM(R12:T12)</f>
        <v>0.565609</v>
      </c>
      <c r="R12" s="416">
        <v>0.565609</v>
      </c>
      <c r="S12" s="416"/>
      <c r="T12" s="416"/>
      <c r="U12" s="411">
        <f t="shared" si="1"/>
        <v>1.6890340718969028</v>
      </c>
      <c r="V12" s="411">
        <f t="shared" si="2"/>
        <v>1.0221608105735174</v>
      </c>
      <c r="W12" s="417"/>
    </row>
    <row r="13" spans="1:23" s="418" customFormat="1" ht="24.75" customHeight="1">
      <c r="A13" s="266">
        <v>3</v>
      </c>
      <c r="B13" s="286" t="s">
        <v>455</v>
      </c>
      <c r="C13" s="399">
        <f t="shared" si="5"/>
        <v>0</v>
      </c>
      <c r="D13" s="414"/>
      <c r="E13" s="410"/>
      <c r="F13" s="414"/>
      <c r="G13" s="414"/>
      <c r="H13" s="415"/>
      <c r="I13" s="398">
        <f t="shared" si="4"/>
        <v>8442.06689</v>
      </c>
      <c r="J13" s="415">
        <v>8042.06689</v>
      </c>
      <c r="K13" s="415">
        <v>400</v>
      </c>
      <c r="L13" s="415"/>
      <c r="M13" s="415"/>
      <c r="N13" s="398">
        <f t="shared" si="6"/>
        <v>0</v>
      </c>
      <c r="O13" s="415"/>
      <c r="P13" s="415"/>
      <c r="Q13" s="398">
        <f aca="true" t="shared" si="7" ref="Q13:Q74">SUM(R13:T13)</f>
        <v>0</v>
      </c>
      <c r="R13" s="416"/>
      <c r="S13" s="416"/>
      <c r="T13" s="416"/>
      <c r="U13" s="411"/>
      <c r="V13" s="411"/>
      <c r="W13" s="417"/>
    </row>
    <row r="14" spans="1:23" s="418" customFormat="1" ht="24.75" customHeight="1">
      <c r="A14" s="266">
        <v>4</v>
      </c>
      <c r="B14" s="286" t="s">
        <v>87</v>
      </c>
      <c r="C14" s="399">
        <f t="shared" si="5"/>
        <v>13000</v>
      </c>
      <c r="D14" s="414"/>
      <c r="E14" s="410">
        <v>13000</v>
      </c>
      <c r="F14" s="414"/>
      <c r="G14" s="414"/>
      <c r="H14" s="415"/>
      <c r="I14" s="398">
        <f t="shared" si="4"/>
        <v>12951.556405000001</v>
      </c>
      <c r="J14" s="415">
        <v>0</v>
      </c>
      <c r="K14" s="415">
        <f>12816.106405+124</f>
        <v>12940.106405</v>
      </c>
      <c r="L14" s="415"/>
      <c r="M14" s="415"/>
      <c r="N14" s="398">
        <f t="shared" si="6"/>
        <v>0</v>
      </c>
      <c r="O14" s="415"/>
      <c r="P14" s="415"/>
      <c r="Q14" s="398">
        <f t="shared" si="7"/>
        <v>11.45</v>
      </c>
      <c r="R14" s="416">
        <v>11.45</v>
      </c>
      <c r="S14" s="416"/>
      <c r="T14" s="416"/>
      <c r="U14" s="411">
        <f t="shared" si="1"/>
        <v>0.9962735696153847</v>
      </c>
      <c r="V14" s="411">
        <f t="shared" si="2"/>
        <v>0.9953928003846154</v>
      </c>
      <c r="W14" s="417"/>
    </row>
    <row r="15" spans="1:23" s="418" customFormat="1" ht="24.75" customHeight="1">
      <c r="A15" s="266">
        <v>5</v>
      </c>
      <c r="B15" s="286" t="s">
        <v>415</v>
      </c>
      <c r="C15" s="399">
        <f t="shared" si="5"/>
        <v>54191</v>
      </c>
      <c r="D15" s="414"/>
      <c r="E15" s="410">
        <v>54191</v>
      </c>
      <c r="F15" s="414"/>
      <c r="G15" s="414"/>
      <c r="H15" s="415"/>
      <c r="I15" s="398">
        <f t="shared" si="4"/>
        <v>76202.222751</v>
      </c>
      <c r="J15" s="415">
        <f>4815.285151-53.9218</f>
        <v>4761.363351</v>
      </c>
      <c r="K15" s="415">
        <f>62923.2523+720+2827.4853+541</f>
        <v>67011.7376</v>
      </c>
      <c r="L15" s="415"/>
      <c r="M15" s="415"/>
      <c r="N15" s="398">
        <f t="shared" si="6"/>
        <v>53.9218</v>
      </c>
      <c r="O15" s="415">
        <v>53.9218</v>
      </c>
      <c r="P15" s="415"/>
      <c r="Q15" s="398">
        <f t="shared" si="7"/>
        <v>4375.2</v>
      </c>
      <c r="R15" s="416">
        <v>1375.2</v>
      </c>
      <c r="S15" s="416"/>
      <c r="T15" s="416">
        <v>3000</v>
      </c>
      <c r="U15" s="411">
        <f t="shared" si="1"/>
        <v>1.406178567492757</v>
      </c>
      <c r="V15" s="411">
        <f t="shared" si="2"/>
        <v>1.2365842593788636</v>
      </c>
      <c r="W15" s="417"/>
    </row>
    <row r="16" spans="1:23" s="419" customFormat="1" ht="24.75" customHeight="1">
      <c r="A16" s="266">
        <v>6</v>
      </c>
      <c r="B16" s="286" t="s">
        <v>182</v>
      </c>
      <c r="C16" s="399">
        <f t="shared" si="5"/>
        <v>19084</v>
      </c>
      <c r="D16" s="414"/>
      <c r="E16" s="410">
        <v>19084</v>
      </c>
      <c r="F16" s="414"/>
      <c r="G16" s="414"/>
      <c r="H16" s="415"/>
      <c r="I16" s="398">
        <f t="shared" si="4"/>
        <v>38409.10378699999</v>
      </c>
      <c r="J16" s="415">
        <v>17220.9178</v>
      </c>
      <c r="K16" s="415">
        <f>20684.649301+30.997</f>
        <v>20715.646301</v>
      </c>
      <c r="L16" s="415"/>
      <c r="M16" s="415"/>
      <c r="N16" s="398">
        <f t="shared" si="6"/>
        <v>0</v>
      </c>
      <c r="O16" s="415"/>
      <c r="P16" s="415"/>
      <c r="Q16" s="398">
        <f>SUM(R16:T16)</f>
        <v>472.53968599999996</v>
      </c>
      <c r="R16" s="416">
        <f>241.539686+218+13</f>
        <v>472.53968599999996</v>
      </c>
      <c r="S16" s="416"/>
      <c r="T16" s="416"/>
      <c r="U16" s="411">
        <f t="shared" si="1"/>
        <v>2.0126338182246903</v>
      </c>
      <c r="V16" s="411">
        <f t="shared" si="2"/>
        <v>1.0854981293753931</v>
      </c>
      <c r="W16" s="417"/>
    </row>
    <row r="17" spans="1:23" s="418" customFormat="1" ht="24.75" customHeight="1">
      <c r="A17" s="266">
        <v>7</v>
      </c>
      <c r="B17" s="286" t="s">
        <v>252</v>
      </c>
      <c r="C17" s="399">
        <f t="shared" si="5"/>
        <v>14464</v>
      </c>
      <c r="D17" s="414"/>
      <c r="E17" s="410">
        <v>14464</v>
      </c>
      <c r="F17" s="414"/>
      <c r="G17" s="414"/>
      <c r="H17" s="415"/>
      <c r="I17" s="398">
        <f t="shared" si="4"/>
        <v>48071.285037</v>
      </c>
      <c r="J17" s="415">
        <v>5618.6376</v>
      </c>
      <c r="K17" s="415">
        <f>9785.727189+32115.567+89</f>
        <v>41990.294189</v>
      </c>
      <c r="L17" s="415"/>
      <c r="M17" s="415"/>
      <c r="N17" s="398">
        <f t="shared" si="6"/>
        <v>0</v>
      </c>
      <c r="O17" s="415"/>
      <c r="P17" s="415"/>
      <c r="Q17" s="398">
        <f t="shared" si="7"/>
        <v>462.353248</v>
      </c>
      <c r="R17" s="416"/>
      <c r="S17" s="416">
        <v>462.128248</v>
      </c>
      <c r="T17" s="416">
        <v>0.225</v>
      </c>
      <c r="U17" s="411">
        <f t="shared" si="1"/>
        <v>3.323512516385509</v>
      </c>
      <c r="V17" s="411">
        <f t="shared" si="2"/>
        <v>2.903090029659845</v>
      </c>
      <c r="W17" s="417"/>
    </row>
    <row r="18" spans="1:23" s="418" customFormat="1" ht="24.75" customHeight="1">
      <c r="A18" s="266">
        <v>8</v>
      </c>
      <c r="B18" s="286" t="s">
        <v>187</v>
      </c>
      <c r="C18" s="399">
        <f t="shared" si="5"/>
        <v>18971</v>
      </c>
      <c r="D18" s="414"/>
      <c r="E18" s="410">
        <v>18971</v>
      </c>
      <c r="F18" s="414"/>
      <c r="G18" s="414"/>
      <c r="H18" s="415"/>
      <c r="I18" s="398">
        <f t="shared" si="4"/>
        <v>48499.52404</v>
      </c>
      <c r="J18" s="415">
        <v>14068.90554</v>
      </c>
      <c r="K18" s="415">
        <f>28549.698209+4500+236.44</f>
        <v>33286.138209</v>
      </c>
      <c r="L18" s="415"/>
      <c r="M18" s="415"/>
      <c r="N18" s="398">
        <f t="shared" si="6"/>
        <v>899.6185</v>
      </c>
      <c r="O18" s="415"/>
      <c r="P18" s="415">
        <v>899.6185</v>
      </c>
      <c r="Q18" s="398">
        <f t="shared" si="7"/>
        <v>244.861791</v>
      </c>
      <c r="R18" s="416">
        <f>238.301791+6.56</f>
        <v>244.861791</v>
      </c>
      <c r="S18" s="416"/>
      <c r="T18" s="416"/>
      <c r="U18" s="411">
        <f t="shared" si="1"/>
        <v>2.556508567814032</v>
      </c>
      <c r="V18" s="411">
        <f t="shared" si="2"/>
        <v>1.754580054240683</v>
      </c>
      <c r="W18" s="417"/>
    </row>
    <row r="19" spans="1:23" s="418" customFormat="1" ht="24.75" customHeight="1">
      <c r="A19" s="266">
        <v>9</v>
      </c>
      <c r="B19" s="286" t="s">
        <v>180</v>
      </c>
      <c r="C19" s="399">
        <f t="shared" si="5"/>
        <v>4753</v>
      </c>
      <c r="D19" s="414"/>
      <c r="E19" s="410">
        <v>4753</v>
      </c>
      <c r="F19" s="414"/>
      <c r="G19" s="414"/>
      <c r="H19" s="415"/>
      <c r="I19" s="398">
        <f t="shared" si="4"/>
        <v>16320.048326</v>
      </c>
      <c r="J19" s="415">
        <v>0</v>
      </c>
      <c r="K19" s="415">
        <f>5451.478+801.225268+8690.011958+1083.8111+60</f>
        <v>16086.526326</v>
      </c>
      <c r="L19" s="415"/>
      <c r="M19" s="415"/>
      <c r="N19" s="398">
        <f t="shared" si="6"/>
        <v>0</v>
      </c>
      <c r="O19" s="415"/>
      <c r="P19" s="415"/>
      <c r="Q19" s="398">
        <f t="shared" si="7"/>
        <v>233.522</v>
      </c>
      <c r="R19" s="416">
        <v>233.522</v>
      </c>
      <c r="S19" s="416"/>
      <c r="T19" s="416"/>
      <c r="U19" s="411">
        <f t="shared" si="1"/>
        <v>3.4336310385019986</v>
      </c>
      <c r="V19" s="411">
        <f t="shared" si="2"/>
        <v>3.3844995426046705</v>
      </c>
      <c r="W19" s="417"/>
    </row>
    <row r="20" spans="1:23" s="418" customFormat="1" ht="24.75" customHeight="1">
      <c r="A20" s="266">
        <v>10</v>
      </c>
      <c r="B20" s="286" t="s">
        <v>99</v>
      </c>
      <c r="C20" s="399">
        <f>SUM(D20:H20)</f>
        <v>8858</v>
      </c>
      <c r="D20" s="414"/>
      <c r="E20" s="410">
        <v>8858</v>
      </c>
      <c r="F20" s="414"/>
      <c r="G20" s="414"/>
      <c r="H20" s="415"/>
      <c r="I20" s="398">
        <f t="shared" si="4"/>
        <v>10768.360679</v>
      </c>
      <c r="J20" s="415">
        <v>0</v>
      </c>
      <c r="K20" s="415">
        <v>10514.776784</v>
      </c>
      <c r="L20" s="415"/>
      <c r="M20" s="415"/>
      <c r="N20" s="398">
        <f t="shared" si="6"/>
        <v>0</v>
      </c>
      <c r="O20" s="415"/>
      <c r="P20" s="415"/>
      <c r="Q20" s="398">
        <f t="shared" si="7"/>
        <v>253.583895</v>
      </c>
      <c r="R20" s="416">
        <v>253.583895</v>
      </c>
      <c r="S20" s="416"/>
      <c r="T20" s="416"/>
      <c r="U20" s="411">
        <f t="shared" si="1"/>
        <v>1.2156650123052608</v>
      </c>
      <c r="V20" s="411">
        <f t="shared" si="2"/>
        <v>1.1870373429668095</v>
      </c>
      <c r="W20" s="417"/>
    </row>
    <row r="21" spans="1:23" s="418" customFormat="1" ht="24.75" customHeight="1">
      <c r="A21" s="266">
        <v>11</v>
      </c>
      <c r="B21" s="286" t="s">
        <v>184</v>
      </c>
      <c r="C21" s="399">
        <f t="shared" si="5"/>
        <v>10454</v>
      </c>
      <c r="D21" s="414"/>
      <c r="E21" s="410">
        <v>10454</v>
      </c>
      <c r="F21" s="414"/>
      <c r="G21" s="414"/>
      <c r="H21" s="415"/>
      <c r="I21" s="398">
        <f t="shared" si="4"/>
        <v>12643.414</v>
      </c>
      <c r="J21" s="415">
        <v>0</v>
      </c>
      <c r="K21" s="415">
        <v>9610.791000000001</v>
      </c>
      <c r="L21" s="415"/>
      <c r="M21" s="415"/>
      <c r="N21" s="398">
        <f t="shared" si="6"/>
        <v>0</v>
      </c>
      <c r="O21" s="415"/>
      <c r="P21" s="415"/>
      <c r="Q21" s="398">
        <f t="shared" si="7"/>
        <v>3032.623</v>
      </c>
      <c r="R21" s="416">
        <f>576.623+26</f>
        <v>602.623</v>
      </c>
      <c r="S21" s="416">
        <f>2430</f>
        <v>2430</v>
      </c>
      <c r="T21" s="416"/>
      <c r="U21" s="411">
        <f t="shared" si="1"/>
        <v>1.2094331356418597</v>
      </c>
      <c r="V21" s="411">
        <f t="shared" si="2"/>
        <v>0.9193410177922328</v>
      </c>
      <c r="W21" s="417"/>
    </row>
    <row r="22" spans="1:23" s="418" customFormat="1" ht="24.75" customHeight="1">
      <c r="A22" s="266">
        <v>12</v>
      </c>
      <c r="B22" s="286" t="s">
        <v>181</v>
      </c>
      <c r="C22" s="399">
        <f t="shared" si="5"/>
        <v>11660</v>
      </c>
      <c r="D22" s="414"/>
      <c r="E22" s="410">
        <v>11660</v>
      </c>
      <c r="F22" s="414"/>
      <c r="G22" s="414"/>
      <c r="H22" s="415"/>
      <c r="I22" s="398">
        <f t="shared" si="4"/>
        <v>11375.2834</v>
      </c>
      <c r="J22" s="415">
        <v>0</v>
      </c>
      <c r="K22" s="415">
        <f>10258+986.2834+81</f>
        <v>11325.2834</v>
      </c>
      <c r="L22" s="415"/>
      <c r="M22" s="415"/>
      <c r="N22" s="398">
        <f t="shared" si="6"/>
        <v>50</v>
      </c>
      <c r="O22" s="415"/>
      <c r="P22" s="415">
        <v>50</v>
      </c>
      <c r="Q22" s="398">
        <f t="shared" si="7"/>
        <v>0</v>
      </c>
      <c r="R22" s="416"/>
      <c r="S22" s="416"/>
      <c r="T22" s="416"/>
      <c r="U22" s="411">
        <f t="shared" si="1"/>
        <v>0.9755817667238422</v>
      </c>
      <c r="V22" s="411">
        <f t="shared" si="2"/>
        <v>0.971293602058319</v>
      </c>
      <c r="W22" s="417"/>
    </row>
    <row r="23" spans="1:23" s="418" customFormat="1" ht="24.75" customHeight="1">
      <c r="A23" s="266">
        <v>13</v>
      </c>
      <c r="B23" s="286" t="s">
        <v>183</v>
      </c>
      <c r="C23" s="399">
        <f t="shared" si="5"/>
        <v>17984</v>
      </c>
      <c r="D23" s="414"/>
      <c r="E23" s="410">
        <v>17984</v>
      </c>
      <c r="F23" s="414"/>
      <c r="G23" s="414"/>
      <c r="H23" s="415"/>
      <c r="I23" s="398">
        <f t="shared" si="4"/>
        <v>23201.051999999996</v>
      </c>
      <c r="J23" s="415">
        <v>4875.026</v>
      </c>
      <c r="K23" s="415">
        <f>13199+4875.026+252</f>
        <v>18326.025999999998</v>
      </c>
      <c r="L23" s="415"/>
      <c r="M23" s="415"/>
      <c r="N23" s="398">
        <f t="shared" si="6"/>
        <v>0</v>
      </c>
      <c r="O23" s="415"/>
      <c r="P23" s="415"/>
      <c r="Q23" s="398">
        <f t="shared" si="7"/>
        <v>0</v>
      </c>
      <c r="R23" s="416"/>
      <c r="S23" s="416"/>
      <c r="T23" s="416"/>
      <c r="U23" s="411">
        <f t="shared" si="1"/>
        <v>1.290094083629893</v>
      </c>
      <c r="V23" s="411">
        <f t="shared" si="2"/>
        <v>1.019018349644128</v>
      </c>
      <c r="W23" s="417"/>
    </row>
    <row r="24" spans="1:23" s="418" customFormat="1" ht="24.75" customHeight="1">
      <c r="A24" s="266">
        <v>14</v>
      </c>
      <c r="B24" s="286" t="s">
        <v>186</v>
      </c>
      <c r="C24" s="399">
        <f t="shared" si="5"/>
        <v>10214</v>
      </c>
      <c r="D24" s="414"/>
      <c r="E24" s="410">
        <v>10214</v>
      </c>
      <c r="F24" s="414"/>
      <c r="G24" s="414"/>
      <c r="H24" s="415"/>
      <c r="I24" s="398">
        <f t="shared" si="4"/>
        <v>21713.488</v>
      </c>
      <c r="J24" s="415">
        <v>7858</v>
      </c>
      <c r="K24" s="415">
        <f>7838+5500+62</f>
        <v>13400</v>
      </c>
      <c r="L24" s="415"/>
      <c r="M24" s="415"/>
      <c r="N24" s="398">
        <f t="shared" si="6"/>
        <v>455.48799999999994</v>
      </c>
      <c r="O24" s="415"/>
      <c r="P24" s="415">
        <f>299.888+155.6</f>
        <v>455.48799999999994</v>
      </c>
      <c r="Q24" s="398">
        <f t="shared" si="7"/>
        <v>0</v>
      </c>
      <c r="R24" s="416"/>
      <c r="S24" s="416"/>
      <c r="T24" s="416"/>
      <c r="U24" s="411">
        <f t="shared" si="1"/>
        <v>2.1258554924613278</v>
      </c>
      <c r="V24" s="411">
        <f t="shared" si="2"/>
        <v>1.3119248090855689</v>
      </c>
      <c r="W24" s="417"/>
    </row>
    <row r="25" spans="1:23" s="418" customFormat="1" ht="24.75" customHeight="1">
      <c r="A25" s="266">
        <v>15</v>
      </c>
      <c r="B25" s="286" t="s">
        <v>108</v>
      </c>
      <c r="C25" s="399">
        <f t="shared" si="5"/>
        <v>14312</v>
      </c>
      <c r="D25" s="414"/>
      <c r="E25" s="410">
        <v>14312</v>
      </c>
      <c r="F25" s="414"/>
      <c r="G25" s="414"/>
      <c r="H25" s="415"/>
      <c r="I25" s="398">
        <f t="shared" si="4"/>
        <v>21657.671299999998</v>
      </c>
      <c r="J25" s="415">
        <v>2653.632</v>
      </c>
      <c r="K25" s="415">
        <f>15213.446316+283</f>
        <v>15496.446316</v>
      </c>
      <c r="L25" s="415"/>
      <c r="M25" s="415"/>
      <c r="N25" s="398">
        <f t="shared" si="6"/>
        <v>0</v>
      </c>
      <c r="O25" s="415"/>
      <c r="P25" s="415"/>
      <c r="Q25" s="398">
        <f t="shared" si="7"/>
        <v>3507.592984</v>
      </c>
      <c r="R25" s="416">
        <v>3507.592984</v>
      </c>
      <c r="S25" s="416"/>
      <c r="T25" s="416"/>
      <c r="U25" s="411">
        <f t="shared" si="1"/>
        <v>1.5132526062045835</v>
      </c>
      <c r="V25" s="411">
        <f t="shared" si="2"/>
        <v>1.0827589656232532</v>
      </c>
      <c r="W25" s="417"/>
    </row>
    <row r="26" spans="1:23" s="418" customFormat="1" ht="24.75" customHeight="1">
      <c r="A26" s="266">
        <v>16</v>
      </c>
      <c r="B26" s="286" t="s">
        <v>109</v>
      </c>
      <c r="C26" s="399">
        <f t="shared" si="5"/>
        <v>21807</v>
      </c>
      <c r="D26" s="414"/>
      <c r="E26" s="410">
        <v>21807</v>
      </c>
      <c r="F26" s="414"/>
      <c r="G26" s="414"/>
      <c r="H26" s="415"/>
      <c r="I26" s="398">
        <f t="shared" si="4"/>
        <v>57137.228604</v>
      </c>
      <c r="J26" s="415">
        <v>12962.374998</v>
      </c>
      <c r="K26" s="415">
        <f>22442.060125+7862.166868+74+12244.374998+24</f>
        <v>42646.601991</v>
      </c>
      <c r="L26" s="415"/>
      <c r="M26" s="415"/>
      <c r="N26" s="398">
        <f t="shared" si="6"/>
        <v>0</v>
      </c>
      <c r="O26" s="415"/>
      <c r="P26" s="415"/>
      <c r="Q26" s="398">
        <f t="shared" si="7"/>
        <v>1528.2516150000001</v>
      </c>
      <c r="R26" s="416">
        <f>838.851615+623</f>
        <v>1461.851615</v>
      </c>
      <c r="S26" s="416">
        <f>66.4</f>
        <v>66.4</v>
      </c>
      <c r="T26" s="416"/>
      <c r="U26" s="411">
        <f t="shared" si="1"/>
        <v>2.6201324622368967</v>
      </c>
      <c r="V26" s="411">
        <f t="shared" si="2"/>
        <v>1.9556381891594443</v>
      </c>
      <c r="W26" s="417"/>
    </row>
    <row r="27" spans="1:23" s="418" customFormat="1" ht="24.75" customHeight="1">
      <c r="A27" s="266">
        <v>17</v>
      </c>
      <c r="B27" s="286" t="s">
        <v>78</v>
      </c>
      <c r="C27" s="399">
        <f t="shared" si="5"/>
        <v>386595</v>
      </c>
      <c r="D27" s="414"/>
      <c r="E27" s="410">
        <v>386595</v>
      </c>
      <c r="F27" s="414"/>
      <c r="G27" s="414"/>
      <c r="H27" s="415"/>
      <c r="I27" s="398">
        <f t="shared" si="4"/>
        <v>585348.778427</v>
      </c>
      <c r="J27" s="415">
        <f>150551.78558-61790.231</f>
        <v>88761.55458</v>
      </c>
      <c r="K27" s="415">
        <f>410636.08444+197+2418.5718+11972.161338</f>
        <v>425223.81757799996</v>
      </c>
      <c r="L27" s="415"/>
      <c r="M27" s="415"/>
      <c r="N27" s="398">
        <f t="shared" si="6"/>
        <v>64790.205293</v>
      </c>
      <c r="O27" s="415">
        <v>61790.231</v>
      </c>
      <c r="P27" s="415">
        <v>2999.974293</v>
      </c>
      <c r="Q27" s="398">
        <f t="shared" si="7"/>
        <v>6573.200976</v>
      </c>
      <c r="R27" s="416">
        <f>4021.081314+1342.838662</f>
        <v>5363.919976</v>
      </c>
      <c r="S27" s="416"/>
      <c r="T27" s="416">
        <f>1193.628+15.653</f>
        <v>1209.281</v>
      </c>
      <c r="U27" s="411">
        <f t="shared" si="1"/>
        <v>1.5141136807951474</v>
      </c>
      <c r="V27" s="411">
        <f t="shared" si="2"/>
        <v>1.0999206341985799</v>
      </c>
      <c r="W27" s="417"/>
    </row>
    <row r="28" spans="1:23" s="418" customFormat="1" ht="24.75" customHeight="1">
      <c r="A28" s="266">
        <v>18</v>
      </c>
      <c r="B28" s="286" t="s">
        <v>79</v>
      </c>
      <c r="C28" s="399">
        <f t="shared" si="5"/>
        <v>99488</v>
      </c>
      <c r="D28" s="414"/>
      <c r="E28" s="410">
        <v>99488</v>
      </c>
      <c r="F28" s="414"/>
      <c r="G28" s="414"/>
      <c r="H28" s="415"/>
      <c r="I28" s="398">
        <f t="shared" si="4"/>
        <v>131849.899481</v>
      </c>
      <c r="J28" s="415">
        <v>4954.508068</v>
      </c>
      <c r="K28" s="415">
        <f>109900.882895+4605.992096+163+1270.39894</f>
        <v>115940.273931</v>
      </c>
      <c r="L28" s="415"/>
      <c r="M28" s="415"/>
      <c r="N28" s="398">
        <f t="shared" si="6"/>
        <v>1347.5927</v>
      </c>
      <c r="O28" s="415"/>
      <c r="P28" s="415">
        <v>1347.5927</v>
      </c>
      <c r="Q28" s="398">
        <f t="shared" si="7"/>
        <v>9607.524782</v>
      </c>
      <c r="R28" s="416">
        <f>8910.923722+156.60106</f>
        <v>9067.524782</v>
      </c>
      <c r="S28" s="416">
        <f>540</f>
        <v>540</v>
      </c>
      <c r="T28" s="416"/>
      <c r="U28" s="411">
        <f t="shared" si="1"/>
        <v>1.3252844512001447</v>
      </c>
      <c r="V28" s="411">
        <f t="shared" si="2"/>
        <v>1.165369430795674</v>
      </c>
      <c r="W28" s="417"/>
    </row>
    <row r="29" spans="1:23" s="418" customFormat="1" ht="24.75" customHeight="1">
      <c r="A29" s="266">
        <v>19</v>
      </c>
      <c r="B29" s="286" t="s">
        <v>416</v>
      </c>
      <c r="C29" s="399">
        <f t="shared" si="5"/>
        <v>28778</v>
      </c>
      <c r="D29" s="414"/>
      <c r="E29" s="410">
        <v>28778</v>
      </c>
      <c r="F29" s="414"/>
      <c r="G29" s="414"/>
      <c r="H29" s="415"/>
      <c r="I29" s="398">
        <f t="shared" si="4"/>
        <v>41945.9897</v>
      </c>
      <c r="J29" s="415">
        <v>0</v>
      </c>
      <c r="K29" s="415">
        <f>34728.6841+601.6213+2301.924+474</f>
        <v>38106.2294</v>
      </c>
      <c r="L29" s="415"/>
      <c r="M29" s="415"/>
      <c r="N29" s="398">
        <f t="shared" si="6"/>
        <v>554.87</v>
      </c>
      <c r="O29" s="415"/>
      <c r="P29" s="415">
        <v>554.87</v>
      </c>
      <c r="Q29" s="398">
        <f t="shared" si="7"/>
        <v>3284.8903</v>
      </c>
      <c r="R29" s="416">
        <v>3284.8903</v>
      </c>
      <c r="S29" s="416"/>
      <c r="T29" s="416"/>
      <c r="U29" s="411">
        <f t="shared" si="1"/>
        <v>1.4575713982903606</v>
      </c>
      <c r="V29" s="411">
        <f t="shared" si="2"/>
        <v>1.3241444645215095</v>
      </c>
      <c r="W29" s="417"/>
    </row>
    <row r="30" spans="1:23" s="418" customFormat="1" ht="24.75" customHeight="1">
      <c r="A30" s="266">
        <v>20</v>
      </c>
      <c r="B30" s="286" t="s">
        <v>185</v>
      </c>
      <c r="C30" s="399">
        <f t="shared" si="5"/>
        <v>316217</v>
      </c>
      <c r="D30" s="414"/>
      <c r="E30" s="410">
        <v>316217</v>
      </c>
      <c r="F30" s="414"/>
      <c r="G30" s="414"/>
      <c r="H30" s="415"/>
      <c r="I30" s="398">
        <f t="shared" si="4"/>
        <v>475105.08639799996</v>
      </c>
      <c r="J30" s="415">
        <v>33728.869781</v>
      </c>
      <c r="K30" s="415">
        <f>363373.086617+6878.7081+2810.135+933.839+173</f>
        <v>374168.76871699997</v>
      </c>
      <c r="L30" s="415"/>
      <c r="M30" s="415"/>
      <c r="N30" s="398">
        <f t="shared" si="6"/>
        <v>1085.14582</v>
      </c>
      <c r="O30" s="415"/>
      <c r="P30" s="415">
        <v>1085.14582</v>
      </c>
      <c r="Q30" s="398">
        <f t="shared" si="7"/>
        <v>66122.30208</v>
      </c>
      <c r="R30" s="416">
        <v>64492.21208</v>
      </c>
      <c r="S30" s="416"/>
      <c r="T30" s="416">
        <v>1630.09</v>
      </c>
      <c r="U30" s="411">
        <f t="shared" si="1"/>
        <v>1.5024653525838267</v>
      </c>
      <c r="V30" s="411">
        <f t="shared" si="2"/>
        <v>1.1832658228906099</v>
      </c>
      <c r="W30" s="417"/>
    </row>
    <row r="31" spans="1:23" s="418" customFormat="1" ht="24.75" customHeight="1">
      <c r="A31" s="266">
        <v>21</v>
      </c>
      <c r="B31" s="286" t="s">
        <v>89</v>
      </c>
      <c r="C31" s="399">
        <f t="shared" si="5"/>
        <v>23566</v>
      </c>
      <c r="D31" s="414"/>
      <c r="E31" s="410">
        <v>23566</v>
      </c>
      <c r="F31" s="414"/>
      <c r="G31" s="414"/>
      <c r="H31" s="415"/>
      <c r="I31" s="398">
        <f t="shared" si="4"/>
        <v>27453</v>
      </c>
      <c r="J31" s="415">
        <v>1955</v>
      </c>
      <c r="K31" s="415">
        <f>25343+155</f>
        <v>25498</v>
      </c>
      <c r="L31" s="415"/>
      <c r="M31" s="415"/>
      <c r="N31" s="398">
        <f t="shared" si="6"/>
        <v>0</v>
      </c>
      <c r="O31" s="415"/>
      <c r="P31" s="415"/>
      <c r="Q31" s="398">
        <f t="shared" si="7"/>
        <v>0</v>
      </c>
      <c r="R31" s="416"/>
      <c r="S31" s="416"/>
      <c r="T31" s="416"/>
      <c r="U31" s="411">
        <f t="shared" si="1"/>
        <v>1.164941016719002</v>
      </c>
      <c r="V31" s="411">
        <f t="shared" si="2"/>
        <v>1.0819825171857762</v>
      </c>
      <c r="W31" s="417"/>
    </row>
    <row r="32" spans="1:23" s="418" customFormat="1" ht="24.75" customHeight="1">
      <c r="A32" s="266">
        <v>22</v>
      </c>
      <c r="B32" s="286" t="s">
        <v>76</v>
      </c>
      <c r="C32" s="399">
        <f t="shared" si="5"/>
        <v>6430</v>
      </c>
      <c r="D32" s="414"/>
      <c r="E32" s="410">
        <v>6430</v>
      </c>
      <c r="F32" s="414"/>
      <c r="G32" s="414"/>
      <c r="H32" s="415"/>
      <c r="I32" s="398">
        <f t="shared" si="4"/>
        <v>23919.5756</v>
      </c>
      <c r="J32" s="415">
        <v>16963.919</v>
      </c>
      <c r="K32" s="415">
        <f>5129+1022.998+78</f>
        <v>6229.998</v>
      </c>
      <c r="L32" s="415"/>
      <c r="M32" s="415"/>
      <c r="N32" s="398">
        <f t="shared" si="6"/>
        <v>725.6586</v>
      </c>
      <c r="O32" s="415"/>
      <c r="P32" s="415">
        <v>725.6586</v>
      </c>
      <c r="Q32" s="398">
        <f t="shared" si="7"/>
        <v>0</v>
      </c>
      <c r="R32" s="416"/>
      <c r="S32" s="416"/>
      <c r="T32" s="416"/>
      <c r="U32" s="411">
        <f t="shared" si="1"/>
        <v>3.719996205287714</v>
      </c>
      <c r="V32" s="411">
        <f t="shared" si="2"/>
        <v>0.9688954898911353</v>
      </c>
      <c r="W32" s="417"/>
    </row>
    <row r="33" spans="1:23" s="418" customFormat="1" ht="24.75" customHeight="1">
      <c r="A33" s="266">
        <v>23</v>
      </c>
      <c r="B33" s="286" t="s">
        <v>188</v>
      </c>
      <c r="C33" s="399">
        <f t="shared" si="5"/>
        <v>6809</v>
      </c>
      <c r="D33" s="414"/>
      <c r="E33" s="410">
        <v>6809</v>
      </c>
      <c r="F33" s="414"/>
      <c r="G33" s="414"/>
      <c r="H33" s="415"/>
      <c r="I33" s="398">
        <f t="shared" si="4"/>
        <v>6287.0419999999995</v>
      </c>
      <c r="J33" s="415">
        <v>27.521</v>
      </c>
      <c r="K33" s="415">
        <f>6072+27.521+160</f>
        <v>6259.521</v>
      </c>
      <c r="L33" s="415"/>
      <c r="M33" s="415"/>
      <c r="N33" s="398">
        <f t="shared" si="6"/>
        <v>0</v>
      </c>
      <c r="O33" s="415"/>
      <c r="P33" s="415"/>
      <c r="Q33" s="398">
        <f t="shared" si="7"/>
        <v>0</v>
      </c>
      <c r="R33" s="416"/>
      <c r="S33" s="416"/>
      <c r="T33" s="416"/>
      <c r="U33" s="411">
        <f t="shared" si="1"/>
        <v>0.9233429284770156</v>
      </c>
      <c r="V33" s="411">
        <f t="shared" si="2"/>
        <v>0.919301072110442</v>
      </c>
      <c r="W33" s="417"/>
    </row>
    <row r="34" spans="1:23" s="418" customFormat="1" ht="24.75" customHeight="1">
      <c r="A34" s="266">
        <v>24</v>
      </c>
      <c r="B34" s="286" t="s">
        <v>88</v>
      </c>
      <c r="C34" s="399">
        <f t="shared" si="5"/>
        <v>21522</v>
      </c>
      <c r="D34" s="414"/>
      <c r="E34" s="410">
        <v>21522</v>
      </c>
      <c r="F34" s="414"/>
      <c r="G34" s="414"/>
      <c r="H34" s="415"/>
      <c r="I34" s="398">
        <f t="shared" si="4"/>
        <v>42932.891373000006</v>
      </c>
      <c r="J34" s="415">
        <v>18838.3296</v>
      </c>
      <c r="K34" s="415">
        <f>21377.664773+2491.487</f>
        <v>23869.151773</v>
      </c>
      <c r="L34" s="415"/>
      <c r="M34" s="415"/>
      <c r="N34" s="398">
        <f t="shared" si="6"/>
        <v>0</v>
      </c>
      <c r="O34" s="415"/>
      <c r="P34" s="415"/>
      <c r="Q34" s="398">
        <f t="shared" si="7"/>
        <v>225.41</v>
      </c>
      <c r="R34" s="416">
        <f>42.41+183</f>
        <v>225.41</v>
      </c>
      <c r="S34" s="416"/>
      <c r="T34" s="416"/>
      <c r="U34" s="411">
        <f t="shared" si="1"/>
        <v>1.9948374395037638</v>
      </c>
      <c r="V34" s="411">
        <f t="shared" si="2"/>
        <v>1.1090582554130657</v>
      </c>
      <c r="W34" s="417"/>
    </row>
    <row r="35" spans="1:23" s="418" customFormat="1" ht="24.75" customHeight="1">
      <c r="A35" s="266">
        <v>25</v>
      </c>
      <c r="B35" s="286" t="s">
        <v>197</v>
      </c>
      <c r="C35" s="399">
        <f t="shared" si="5"/>
        <v>13563</v>
      </c>
      <c r="D35" s="414"/>
      <c r="E35" s="410">
        <v>13563</v>
      </c>
      <c r="F35" s="414"/>
      <c r="G35" s="414"/>
      <c r="H35" s="415"/>
      <c r="I35" s="398">
        <f t="shared" si="4"/>
        <v>21245</v>
      </c>
      <c r="J35" s="415">
        <v>0</v>
      </c>
      <c r="K35" s="415">
        <f>16111+2000+45.7772</f>
        <v>18156.7772</v>
      </c>
      <c r="L35" s="415"/>
      <c r="M35" s="415"/>
      <c r="N35" s="398">
        <f t="shared" si="6"/>
        <v>0</v>
      </c>
      <c r="O35" s="415"/>
      <c r="P35" s="415"/>
      <c r="Q35" s="398">
        <f t="shared" si="7"/>
        <v>3088.2228</v>
      </c>
      <c r="R35" s="416">
        <f>3000+88.2228</f>
        <v>3088.2228</v>
      </c>
      <c r="S35" s="416"/>
      <c r="T35" s="416"/>
      <c r="U35" s="411">
        <f t="shared" si="1"/>
        <v>1.5663938656639387</v>
      </c>
      <c r="V35" s="411">
        <f t="shared" si="2"/>
        <v>1.338699196342992</v>
      </c>
      <c r="W35" s="417"/>
    </row>
    <row r="36" spans="1:23" s="418" customFormat="1" ht="24.75" customHeight="1">
      <c r="A36" s="266">
        <v>26</v>
      </c>
      <c r="B36" s="286" t="s">
        <v>96</v>
      </c>
      <c r="C36" s="399">
        <f t="shared" si="5"/>
        <v>8961</v>
      </c>
      <c r="D36" s="414"/>
      <c r="E36" s="410">
        <v>8961</v>
      </c>
      <c r="F36" s="414"/>
      <c r="G36" s="414"/>
      <c r="H36" s="415"/>
      <c r="I36" s="398">
        <f t="shared" si="4"/>
        <v>9283.597868</v>
      </c>
      <c r="J36" s="415">
        <v>200</v>
      </c>
      <c r="K36" s="415">
        <v>9076.627468</v>
      </c>
      <c r="L36" s="415"/>
      <c r="M36" s="415"/>
      <c r="N36" s="398">
        <f t="shared" si="6"/>
        <v>0</v>
      </c>
      <c r="O36" s="415"/>
      <c r="P36" s="415"/>
      <c r="Q36" s="398">
        <f t="shared" si="7"/>
        <v>6.9704</v>
      </c>
      <c r="R36" s="416">
        <v>6.9704</v>
      </c>
      <c r="S36" s="416"/>
      <c r="T36" s="416"/>
      <c r="U36" s="411">
        <f t="shared" si="1"/>
        <v>1.0360002084588775</v>
      </c>
      <c r="V36" s="411">
        <f t="shared" si="2"/>
        <v>1.0129034112264257</v>
      </c>
      <c r="W36" s="417"/>
    </row>
    <row r="37" spans="1:23" s="418" customFormat="1" ht="25.5" customHeight="1">
      <c r="A37" s="266">
        <v>27</v>
      </c>
      <c r="B37" s="286" t="s">
        <v>90</v>
      </c>
      <c r="C37" s="399">
        <f t="shared" si="5"/>
        <v>996</v>
      </c>
      <c r="D37" s="414"/>
      <c r="E37" s="410">
        <v>996</v>
      </c>
      <c r="F37" s="414"/>
      <c r="G37" s="414"/>
      <c r="H37" s="415"/>
      <c r="I37" s="398">
        <f t="shared" si="4"/>
        <v>939.406883</v>
      </c>
      <c r="J37" s="415">
        <v>0</v>
      </c>
      <c r="K37" s="415">
        <f>927.406883+12</f>
        <v>939.406883</v>
      </c>
      <c r="L37" s="415"/>
      <c r="M37" s="415"/>
      <c r="N37" s="398">
        <f t="shared" si="6"/>
        <v>0</v>
      </c>
      <c r="O37" s="415"/>
      <c r="P37" s="415"/>
      <c r="Q37" s="398">
        <f t="shared" si="7"/>
        <v>0</v>
      </c>
      <c r="R37" s="416"/>
      <c r="S37" s="416"/>
      <c r="T37" s="416"/>
      <c r="U37" s="411">
        <f t="shared" si="1"/>
        <v>0.9431796014056225</v>
      </c>
      <c r="V37" s="411">
        <f t="shared" si="2"/>
        <v>0.9431796014056225</v>
      </c>
      <c r="W37" s="417"/>
    </row>
    <row r="38" spans="1:23" s="418" customFormat="1" ht="24.75" customHeight="1">
      <c r="A38" s="266">
        <v>28</v>
      </c>
      <c r="B38" s="286" t="s">
        <v>77</v>
      </c>
      <c r="C38" s="399">
        <f t="shared" si="5"/>
        <v>4441</v>
      </c>
      <c r="D38" s="414"/>
      <c r="E38" s="410">
        <v>4441</v>
      </c>
      <c r="F38" s="414"/>
      <c r="G38" s="414"/>
      <c r="H38" s="415"/>
      <c r="I38" s="398">
        <f t="shared" si="4"/>
        <v>5544</v>
      </c>
      <c r="J38" s="415">
        <v>0</v>
      </c>
      <c r="K38" s="415">
        <f>5416+78</f>
        <v>5494</v>
      </c>
      <c r="L38" s="415"/>
      <c r="M38" s="415"/>
      <c r="N38" s="398">
        <f t="shared" si="6"/>
        <v>50</v>
      </c>
      <c r="O38" s="415"/>
      <c r="P38" s="415">
        <v>50</v>
      </c>
      <c r="Q38" s="398">
        <f t="shared" si="7"/>
        <v>0</v>
      </c>
      <c r="R38" s="416"/>
      <c r="S38" s="416"/>
      <c r="T38" s="416"/>
      <c r="U38" s="411">
        <f t="shared" si="1"/>
        <v>1.2483674848007205</v>
      </c>
      <c r="V38" s="411">
        <f t="shared" si="2"/>
        <v>1.2371087592884487</v>
      </c>
      <c r="W38" s="417"/>
    </row>
    <row r="39" spans="1:23" s="418" customFormat="1" ht="24.75" customHeight="1">
      <c r="A39" s="266">
        <v>29</v>
      </c>
      <c r="B39" s="286" t="s">
        <v>420</v>
      </c>
      <c r="C39" s="399">
        <f>SUM(D39:H39)</f>
        <v>4287</v>
      </c>
      <c r="D39" s="414"/>
      <c r="E39" s="410">
        <v>4287</v>
      </c>
      <c r="F39" s="414"/>
      <c r="G39" s="414"/>
      <c r="H39" s="415"/>
      <c r="I39" s="398">
        <f>SUM(J39:M39,N39,Q39)</f>
        <v>4613.6539999999995</v>
      </c>
      <c r="J39" s="415">
        <v>0</v>
      </c>
      <c r="K39" s="415">
        <f>4256.784+221+85</f>
        <v>4562.784</v>
      </c>
      <c r="L39" s="415"/>
      <c r="M39" s="415"/>
      <c r="N39" s="398">
        <f>SUM(O39:P39)</f>
        <v>50</v>
      </c>
      <c r="O39" s="415"/>
      <c r="P39" s="415">
        <v>50</v>
      </c>
      <c r="Q39" s="398">
        <f>SUM(R39:T39)</f>
        <v>0.87</v>
      </c>
      <c r="R39" s="416">
        <v>0.87</v>
      </c>
      <c r="S39" s="416"/>
      <c r="T39" s="416"/>
      <c r="U39" s="411">
        <f>I39/C39</f>
        <v>1.0761964077443433</v>
      </c>
      <c r="V39" s="411">
        <f>K39/E39</f>
        <v>1.064330300909727</v>
      </c>
      <c r="W39" s="417"/>
    </row>
    <row r="40" spans="1:23" s="418" customFormat="1" ht="24.75" customHeight="1">
      <c r="A40" s="266">
        <v>30</v>
      </c>
      <c r="B40" s="286" t="s">
        <v>191</v>
      </c>
      <c r="C40" s="399">
        <f>SUM(D40:H40)</f>
        <v>4725</v>
      </c>
      <c r="D40" s="414"/>
      <c r="E40" s="410">
        <v>4725</v>
      </c>
      <c r="F40" s="414"/>
      <c r="G40" s="414"/>
      <c r="H40" s="415"/>
      <c r="I40" s="398">
        <f>SUM(J40:M40,N40,Q40)</f>
        <v>5570.7127</v>
      </c>
      <c r="J40" s="415">
        <v>0</v>
      </c>
      <c r="K40" s="415">
        <f>5501.7127+69</f>
        <v>5570.7127</v>
      </c>
      <c r="L40" s="415"/>
      <c r="M40" s="415"/>
      <c r="N40" s="398">
        <f>SUM(O40:P40)</f>
        <v>0</v>
      </c>
      <c r="O40" s="415"/>
      <c r="P40" s="415"/>
      <c r="Q40" s="398">
        <f>SUM(R40:T40)</f>
        <v>0</v>
      </c>
      <c r="R40" s="416"/>
      <c r="S40" s="416"/>
      <c r="T40" s="416"/>
      <c r="U40" s="411">
        <f>I40/C40</f>
        <v>1.1789868148148148</v>
      </c>
      <c r="V40" s="411">
        <f>K40/E40</f>
        <v>1.1789868148148148</v>
      </c>
      <c r="W40" s="417"/>
    </row>
    <row r="41" spans="1:23" s="418" customFormat="1" ht="24.75" customHeight="1">
      <c r="A41" s="266">
        <v>31</v>
      </c>
      <c r="B41" s="286" t="s">
        <v>98</v>
      </c>
      <c r="C41" s="399">
        <f>SUM(D41:H41)</f>
        <v>7488</v>
      </c>
      <c r="D41" s="414"/>
      <c r="E41" s="410">
        <v>7488</v>
      </c>
      <c r="F41" s="414"/>
      <c r="G41" s="414"/>
      <c r="H41" s="415"/>
      <c r="I41" s="398">
        <f>SUM(J41:M41,N41,Q41)</f>
        <v>7861</v>
      </c>
      <c r="J41" s="415">
        <v>0</v>
      </c>
      <c r="K41" s="415">
        <f>7759+98.674803</f>
        <v>7857.674803</v>
      </c>
      <c r="L41" s="415"/>
      <c r="M41" s="415"/>
      <c r="N41" s="398">
        <f>SUM(O41:P41)</f>
        <v>0</v>
      </c>
      <c r="O41" s="415"/>
      <c r="P41" s="415"/>
      <c r="Q41" s="398">
        <f>SUM(R41:T41)</f>
        <v>3.325197</v>
      </c>
      <c r="R41" s="416">
        <v>3.325197</v>
      </c>
      <c r="S41" s="416"/>
      <c r="T41" s="416"/>
      <c r="U41" s="411">
        <f>I41/C41</f>
        <v>1.0498130341880343</v>
      </c>
      <c r="V41" s="411">
        <f>K41/E41</f>
        <v>1.0493689640758548</v>
      </c>
      <c r="W41" s="417"/>
    </row>
    <row r="42" spans="1:23" s="418" customFormat="1" ht="24.75" customHeight="1">
      <c r="A42" s="266">
        <v>32</v>
      </c>
      <c r="B42" s="286" t="s">
        <v>192</v>
      </c>
      <c r="C42" s="399">
        <f>SUM(D42:H42)</f>
        <v>2695</v>
      </c>
      <c r="D42" s="414"/>
      <c r="E42" s="410">
        <v>2695</v>
      </c>
      <c r="F42" s="414"/>
      <c r="G42" s="414"/>
      <c r="H42" s="415"/>
      <c r="I42" s="398">
        <f>SUM(J42:M42,N42,Q42)</f>
        <v>3985.96024</v>
      </c>
      <c r="J42" s="415">
        <v>0</v>
      </c>
      <c r="K42" s="415">
        <f>3943.911+42.04924</f>
        <v>3985.96024</v>
      </c>
      <c r="L42" s="415"/>
      <c r="M42" s="415"/>
      <c r="N42" s="398">
        <f>SUM(O42:P42)</f>
        <v>0</v>
      </c>
      <c r="O42" s="415"/>
      <c r="P42" s="415"/>
      <c r="Q42" s="398">
        <f>SUM(R42:T42)</f>
        <v>0</v>
      </c>
      <c r="R42" s="416"/>
      <c r="S42" s="416"/>
      <c r="T42" s="416"/>
      <c r="U42" s="411">
        <f>I42/C42</f>
        <v>1.4790204972170686</v>
      </c>
      <c r="V42" s="411">
        <f>K42/E42</f>
        <v>1.4790204972170686</v>
      </c>
      <c r="W42" s="417"/>
    </row>
    <row r="43" spans="1:23" s="418" customFormat="1" ht="24.75" customHeight="1">
      <c r="A43" s="266">
        <v>33</v>
      </c>
      <c r="B43" s="286" t="s">
        <v>462</v>
      </c>
      <c r="C43" s="399">
        <f t="shared" si="5"/>
        <v>1000</v>
      </c>
      <c r="D43" s="414"/>
      <c r="E43" s="410"/>
      <c r="F43" s="414"/>
      <c r="G43" s="414">
        <v>1000</v>
      </c>
      <c r="H43" s="415"/>
      <c r="I43" s="398">
        <f t="shared" si="4"/>
        <v>1000</v>
      </c>
      <c r="J43" s="415">
        <v>0</v>
      </c>
      <c r="K43" s="415"/>
      <c r="L43" s="415"/>
      <c r="M43" s="415">
        <v>1000</v>
      </c>
      <c r="N43" s="398">
        <f t="shared" si="6"/>
        <v>0</v>
      </c>
      <c r="O43" s="415"/>
      <c r="P43" s="415"/>
      <c r="Q43" s="398">
        <f t="shared" si="7"/>
        <v>0</v>
      </c>
      <c r="R43" s="416"/>
      <c r="S43" s="416"/>
      <c r="T43" s="416"/>
      <c r="U43" s="411"/>
      <c r="V43" s="411"/>
      <c r="W43" s="417"/>
    </row>
    <row r="44" spans="1:23" s="418" customFormat="1" ht="24.75" customHeight="1">
      <c r="A44" s="266">
        <v>34</v>
      </c>
      <c r="B44" s="286" t="s">
        <v>196</v>
      </c>
      <c r="C44" s="399">
        <f t="shared" si="5"/>
        <v>500</v>
      </c>
      <c r="D44" s="414"/>
      <c r="E44" s="410">
        <v>500</v>
      </c>
      <c r="F44" s="414"/>
      <c r="G44" s="414"/>
      <c r="H44" s="415"/>
      <c r="I44" s="398">
        <f aca="true" t="shared" si="8" ref="I44:I73">SUM(J44:M44,N44,Q44)</f>
        <v>409.677</v>
      </c>
      <c r="J44" s="415">
        <v>0</v>
      </c>
      <c r="K44" s="415">
        <v>409.677</v>
      </c>
      <c r="L44" s="415"/>
      <c r="M44" s="415"/>
      <c r="N44" s="398">
        <f t="shared" si="6"/>
        <v>0</v>
      </c>
      <c r="O44" s="415"/>
      <c r="P44" s="415"/>
      <c r="Q44" s="398">
        <f t="shared" si="7"/>
        <v>0</v>
      </c>
      <c r="R44" s="416"/>
      <c r="S44" s="416"/>
      <c r="T44" s="416"/>
      <c r="U44" s="411">
        <f aca="true" t="shared" si="9" ref="U44:U50">I44/C44</f>
        <v>0.819354</v>
      </c>
      <c r="V44" s="411">
        <f aca="true" t="shared" si="10" ref="V44:V53">K44/E44</f>
        <v>0.819354</v>
      </c>
      <c r="W44" s="417"/>
    </row>
    <row r="45" spans="1:23" s="418" customFormat="1" ht="24.75" customHeight="1">
      <c r="A45" s="266">
        <v>35</v>
      </c>
      <c r="B45" s="286" t="s">
        <v>106</v>
      </c>
      <c r="C45" s="399">
        <f t="shared" si="5"/>
        <v>77</v>
      </c>
      <c r="D45" s="414"/>
      <c r="E45" s="410">
        <v>77</v>
      </c>
      <c r="F45" s="414"/>
      <c r="G45" s="414"/>
      <c r="H45" s="415"/>
      <c r="I45" s="398">
        <f t="shared" si="8"/>
        <v>79</v>
      </c>
      <c r="J45" s="415">
        <v>0</v>
      </c>
      <c r="K45" s="415">
        <v>79</v>
      </c>
      <c r="L45" s="415"/>
      <c r="M45" s="415"/>
      <c r="N45" s="398">
        <f t="shared" si="6"/>
        <v>0</v>
      </c>
      <c r="O45" s="415"/>
      <c r="P45" s="415"/>
      <c r="Q45" s="398">
        <f t="shared" si="7"/>
        <v>0</v>
      </c>
      <c r="R45" s="416"/>
      <c r="S45" s="416"/>
      <c r="T45" s="416"/>
      <c r="U45" s="411">
        <f t="shared" si="9"/>
        <v>1.025974025974026</v>
      </c>
      <c r="V45" s="411">
        <f t="shared" si="10"/>
        <v>1.025974025974026</v>
      </c>
      <c r="W45" s="417"/>
    </row>
    <row r="46" spans="1:23" s="418" customFormat="1" ht="24.75" customHeight="1">
      <c r="A46" s="266">
        <v>36</v>
      </c>
      <c r="B46" s="286" t="s">
        <v>419</v>
      </c>
      <c r="C46" s="399">
        <f t="shared" si="5"/>
        <v>11161</v>
      </c>
      <c r="D46" s="414">
        <v>10975</v>
      </c>
      <c r="E46" s="410">
        <v>186</v>
      </c>
      <c r="F46" s="414"/>
      <c r="G46" s="414"/>
      <c r="H46" s="415"/>
      <c r="I46" s="398">
        <f t="shared" si="8"/>
        <v>11185</v>
      </c>
      <c r="J46" s="415">
        <v>10975</v>
      </c>
      <c r="K46" s="415">
        <f>190+20</f>
        <v>210</v>
      </c>
      <c r="L46" s="415"/>
      <c r="M46" s="415"/>
      <c r="N46" s="398">
        <f t="shared" si="6"/>
        <v>0</v>
      </c>
      <c r="O46" s="415"/>
      <c r="P46" s="415"/>
      <c r="Q46" s="398">
        <f t="shared" si="7"/>
        <v>0</v>
      </c>
      <c r="R46" s="416"/>
      <c r="S46" s="416"/>
      <c r="T46" s="416"/>
      <c r="U46" s="411">
        <f t="shared" si="9"/>
        <v>1.0021503449511693</v>
      </c>
      <c r="V46" s="411">
        <f t="shared" si="10"/>
        <v>1.1290322580645162</v>
      </c>
      <c r="W46" s="417"/>
    </row>
    <row r="47" spans="1:23" s="418" customFormat="1" ht="24.75" customHeight="1">
      <c r="A47" s="266">
        <v>37</v>
      </c>
      <c r="B47" s="286" t="s">
        <v>101</v>
      </c>
      <c r="C47" s="399">
        <f t="shared" si="5"/>
        <v>100</v>
      </c>
      <c r="D47" s="414"/>
      <c r="E47" s="410">
        <v>100</v>
      </c>
      <c r="F47" s="414"/>
      <c r="G47" s="414"/>
      <c r="H47" s="415"/>
      <c r="I47" s="398">
        <f t="shared" si="8"/>
        <v>100</v>
      </c>
      <c r="J47" s="415">
        <v>0</v>
      </c>
      <c r="K47" s="415">
        <v>100</v>
      </c>
      <c r="L47" s="415"/>
      <c r="M47" s="415"/>
      <c r="N47" s="398">
        <f t="shared" si="6"/>
        <v>0</v>
      </c>
      <c r="O47" s="415"/>
      <c r="P47" s="415"/>
      <c r="Q47" s="398">
        <f t="shared" si="7"/>
        <v>0</v>
      </c>
      <c r="R47" s="416"/>
      <c r="S47" s="416"/>
      <c r="T47" s="416"/>
      <c r="U47" s="411">
        <f t="shared" si="9"/>
        <v>1</v>
      </c>
      <c r="V47" s="411">
        <f t="shared" si="10"/>
        <v>1</v>
      </c>
      <c r="W47" s="417"/>
    </row>
    <row r="48" spans="1:23" s="418" customFormat="1" ht="24.75" customHeight="1">
      <c r="A48" s="266">
        <v>38</v>
      </c>
      <c r="B48" s="286" t="s">
        <v>102</v>
      </c>
      <c r="C48" s="399">
        <f t="shared" si="5"/>
        <v>200</v>
      </c>
      <c r="D48" s="414"/>
      <c r="E48" s="410">
        <v>200</v>
      </c>
      <c r="F48" s="414"/>
      <c r="G48" s="414"/>
      <c r="H48" s="415"/>
      <c r="I48" s="398">
        <f t="shared" si="8"/>
        <v>200</v>
      </c>
      <c r="J48" s="415">
        <v>0</v>
      </c>
      <c r="K48" s="415">
        <v>200</v>
      </c>
      <c r="L48" s="415"/>
      <c r="M48" s="415"/>
      <c r="N48" s="398">
        <f t="shared" si="6"/>
        <v>0</v>
      </c>
      <c r="O48" s="415"/>
      <c r="P48" s="415"/>
      <c r="Q48" s="398">
        <f t="shared" si="7"/>
        <v>0</v>
      </c>
      <c r="R48" s="416"/>
      <c r="S48" s="416"/>
      <c r="T48" s="416"/>
      <c r="U48" s="411">
        <f t="shared" si="9"/>
        <v>1</v>
      </c>
      <c r="V48" s="411">
        <f t="shared" si="10"/>
        <v>1</v>
      </c>
      <c r="W48" s="417"/>
    </row>
    <row r="49" spans="1:23" s="418" customFormat="1" ht="24.75" customHeight="1">
      <c r="A49" s="266">
        <v>39</v>
      </c>
      <c r="B49" s="286" t="s">
        <v>103</v>
      </c>
      <c r="C49" s="399">
        <f t="shared" si="5"/>
        <v>100</v>
      </c>
      <c r="D49" s="414"/>
      <c r="E49" s="410">
        <v>100</v>
      </c>
      <c r="F49" s="414"/>
      <c r="G49" s="414"/>
      <c r="H49" s="415"/>
      <c r="I49" s="398">
        <f t="shared" si="8"/>
        <v>100</v>
      </c>
      <c r="J49" s="415">
        <v>0</v>
      </c>
      <c r="K49" s="415">
        <v>100</v>
      </c>
      <c r="L49" s="415"/>
      <c r="M49" s="415"/>
      <c r="N49" s="398">
        <f t="shared" si="6"/>
        <v>0</v>
      </c>
      <c r="O49" s="415"/>
      <c r="P49" s="415"/>
      <c r="Q49" s="398">
        <f t="shared" si="7"/>
        <v>0</v>
      </c>
      <c r="R49" s="416"/>
      <c r="S49" s="416"/>
      <c r="T49" s="416"/>
      <c r="U49" s="411">
        <f t="shared" si="9"/>
        <v>1</v>
      </c>
      <c r="V49" s="411">
        <f t="shared" si="10"/>
        <v>1</v>
      </c>
      <c r="W49" s="417"/>
    </row>
    <row r="50" spans="1:23" s="418" customFormat="1" ht="24.75" customHeight="1">
      <c r="A50" s="266">
        <v>40</v>
      </c>
      <c r="B50" s="286" t="s">
        <v>104</v>
      </c>
      <c r="C50" s="399">
        <f t="shared" si="5"/>
        <v>100</v>
      </c>
      <c r="D50" s="414"/>
      <c r="E50" s="410">
        <v>100</v>
      </c>
      <c r="F50" s="414"/>
      <c r="G50" s="414"/>
      <c r="H50" s="415"/>
      <c r="I50" s="398">
        <f t="shared" si="8"/>
        <v>100</v>
      </c>
      <c r="J50" s="415">
        <v>0</v>
      </c>
      <c r="K50" s="415">
        <v>100</v>
      </c>
      <c r="L50" s="415"/>
      <c r="M50" s="415"/>
      <c r="N50" s="398">
        <f t="shared" si="6"/>
        <v>0</v>
      </c>
      <c r="O50" s="415"/>
      <c r="P50" s="415"/>
      <c r="Q50" s="398">
        <f t="shared" si="7"/>
        <v>0</v>
      </c>
      <c r="R50" s="416"/>
      <c r="S50" s="416"/>
      <c r="T50" s="416"/>
      <c r="U50" s="411">
        <f t="shared" si="9"/>
        <v>1</v>
      </c>
      <c r="V50" s="411">
        <f t="shared" si="10"/>
        <v>1</v>
      </c>
      <c r="W50" s="417"/>
    </row>
    <row r="51" spans="1:23" s="418" customFormat="1" ht="24.75" customHeight="1">
      <c r="A51" s="266">
        <v>41</v>
      </c>
      <c r="B51" s="286" t="s">
        <v>199</v>
      </c>
      <c r="C51" s="399">
        <f t="shared" si="5"/>
        <v>10970</v>
      </c>
      <c r="D51" s="414"/>
      <c r="E51" s="410">
        <v>10970</v>
      </c>
      <c r="F51" s="414"/>
      <c r="G51" s="414"/>
      <c r="H51" s="415"/>
      <c r="I51" s="398">
        <f t="shared" si="8"/>
        <v>26491.958443</v>
      </c>
      <c r="J51" s="415">
        <v>3871.948481</v>
      </c>
      <c r="K51" s="415">
        <f>16430.444+1629.515962</f>
        <v>18059.959962</v>
      </c>
      <c r="L51" s="415"/>
      <c r="M51" s="415"/>
      <c r="N51" s="398">
        <f t="shared" si="6"/>
        <v>0</v>
      </c>
      <c r="O51" s="415"/>
      <c r="P51" s="415"/>
      <c r="Q51" s="398">
        <f t="shared" si="7"/>
        <v>4560.05</v>
      </c>
      <c r="R51" s="416"/>
      <c r="S51" s="416"/>
      <c r="T51" s="416">
        <v>4560.05</v>
      </c>
      <c r="U51" s="411"/>
      <c r="V51" s="411">
        <f t="shared" si="10"/>
        <v>1.6463044632634458</v>
      </c>
      <c r="W51" s="417"/>
    </row>
    <row r="52" spans="1:23" s="418" customFormat="1" ht="24.75" customHeight="1">
      <c r="A52" s="266">
        <v>42</v>
      </c>
      <c r="B52" s="286" t="s">
        <v>91</v>
      </c>
      <c r="C52" s="399">
        <f>SUM(D52:H52)</f>
        <v>36780</v>
      </c>
      <c r="D52" s="414"/>
      <c r="E52" s="410">
        <v>36780</v>
      </c>
      <c r="F52" s="414"/>
      <c r="G52" s="414"/>
      <c r="H52" s="415"/>
      <c r="I52" s="398">
        <f>SUM(J52:M52,N52,Q52)</f>
        <v>67013.791</v>
      </c>
      <c r="J52" s="415">
        <v>2673.664</v>
      </c>
      <c r="K52" s="415">
        <f>59741+1853.187</f>
        <v>61594.187</v>
      </c>
      <c r="L52" s="415"/>
      <c r="M52" s="415"/>
      <c r="N52" s="398">
        <f>SUM(O52:P52)</f>
        <v>0</v>
      </c>
      <c r="O52" s="415"/>
      <c r="P52" s="415"/>
      <c r="Q52" s="398">
        <f>SUM(R52:T52)</f>
        <v>2745.94</v>
      </c>
      <c r="R52" s="416"/>
      <c r="S52" s="416"/>
      <c r="T52" s="416">
        <v>2745.94</v>
      </c>
      <c r="U52" s="411">
        <f>I52/C52</f>
        <v>1.8220171560630778</v>
      </c>
      <c r="V52" s="411">
        <f>K52/E52</f>
        <v>1.6746652256661227</v>
      </c>
      <c r="W52" s="417"/>
    </row>
    <row r="53" spans="1:23" s="418" customFormat="1" ht="24.75" customHeight="1">
      <c r="A53" s="266">
        <v>43</v>
      </c>
      <c r="B53" s="286" t="s">
        <v>253</v>
      </c>
      <c r="C53" s="399">
        <f t="shared" si="5"/>
        <v>11825</v>
      </c>
      <c r="D53" s="414"/>
      <c r="E53" s="410">
        <v>11825</v>
      </c>
      <c r="F53" s="414"/>
      <c r="G53" s="414"/>
      <c r="H53" s="415"/>
      <c r="I53" s="398">
        <f t="shared" si="8"/>
        <v>53338.355427999995</v>
      </c>
      <c r="J53" s="415">
        <v>38680.767428</v>
      </c>
      <c r="K53" s="415">
        <f>9395+4369.096</f>
        <v>13764.096</v>
      </c>
      <c r="L53" s="415"/>
      <c r="M53" s="415"/>
      <c r="N53" s="398">
        <f t="shared" si="6"/>
        <v>0</v>
      </c>
      <c r="O53" s="415"/>
      <c r="P53" s="415"/>
      <c r="Q53" s="398">
        <f t="shared" si="7"/>
        <v>893.492</v>
      </c>
      <c r="R53" s="416"/>
      <c r="S53" s="416">
        <v>394.2</v>
      </c>
      <c r="T53" s="416">
        <v>499.292</v>
      </c>
      <c r="U53" s="411"/>
      <c r="V53" s="411">
        <f t="shared" si="10"/>
        <v>1.1639827484143763</v>
      </c>
      <c r="W53" s="417"/>
    </row>
    <row r="54" spans="1:23" s="418" customFormat="1" ht="24.75" customHeight="1">
      <c r="A54" s="266">
        <v>44</v>
      </c>
      <c r="B54" s="286" t="s">
        <v>198</v>
      </c>
      <c r="C54" s="399">
        <f t="shared" si="5"/>
        <v>0</v>
      </c>
      <c r="D54" s="414"/>
      <c r="E54" s="410"/>
      <c r="F54" s="414"/>
      <c r="G54" s="414"/>
      <c r="H54" s="415"/>
      <c r="I54" s="398">
        <f t="shared" si="8"/>
        <v>4145.943</v>
      </c>
      <c r="J54" s="415">
        <v>721.806</v>
      </c>
      <c r="K54" s="415">
        <v>732.697</v>
      </c>
      <c r="L54" s="415"/>
      <c r="M54" s="415"/>
      <c r="N54" s="398">
        <f t="shared" si="6"/>
        <v>0</v>
      </c>
      <c r="O54" s="415"/>
      <c r="P54" s="415"/>
      <c r="Q54" s="398">
        <f t="shared" si="7"/>
        <v>2691.44</v>
      </c>
      <c r="R54" s="416"/>
      <c r="S54" s="416">
        <v>791.44</v>
      </c>
      <c r="T54" s="416">
        <v>1900</v>
      </c>
      <c r="U54" s="411"/>
      <c r="V54" s="411"/>
      <c r="W54" s="417"/>
    </row>
    <row r="55" spans="1:23" s="418" customFormat="1" ht="24.75" customHeight="1">
      <c r="A55" s="266">
        <v>45</v>
      </c>
      <c r="B55" s="286" t="s">
        <v>110</v>
      </c>
      <c r="C55" s="399">
        <f>SUM(D55:H55)</f>
        <v>0</v>
      </c>
      <c r="D55" s="414"/>
      <c r="E55" s="410"/>
      <c r="F55" s="414"/>
      <c r="G55" s="414"/>
      <c r="H55" s="415"/>
      <c r="I55" s="398">
        <f>SUM(J55:M55,N55,Q55)</f>
        <v>310913.43</v>
      </c>
      <c r="J55" s="415">
        <v>0</v>
      </c>
      <c r="K55" s="415">
        <v>310913.43</v>
      </c>
      <c r="L55" s="415"/>
      <c r="M55" s="415"/>
      <c r="N55" s="398">
        <f>SUM(O55:P55)</f>
        <v>0</v>
      </c>
      <c r="O55" s="415"/>
      <c r="P55" s="415"/>
      <c r="Q55" s="398">
        <f>SUM(R55:T55)</f>
        <v>0</v>
      </c>
      <c r="R55" s="416"/>
      <c r="S55" s="416"/>
      <c r="T55" s="416"/>
      <c r="U55" s="411"/>
      <c r="V55" s="411"/>
      <c r="W55" s="417"/>
    </row>
    <row r="56" spans="1:23" s="418" customFormat="1" ht="24.75" customHeight="1">
      <c r="A56" s="266">
        <v>46</v>
      </c>
      <c r="B56" s="286" t="s">
        <v>457</v>
      </c>
      <c r="C56" s="399">
        <f t="shared" si="5"/>
        <v>0</v>
      </c>
      <c r="D56" s="414"/>
      <c r="E56" s="410"/>
      <c r="F56" s="414"/>
      <c r="G56" s="414"/>
      <c r="H56" s="415"/>
      <c r="I56" s="398">
        <f t="shared" si="8"/>
        <v>2000</v>
      </c>
      <c r="J56" s="415">
        <v>2000</v>
      </c>
      <c r="K56" s="415"/>
      <c r="L56" s="415"/>
      <c r="M56" s="415"/>
      <c r="N56" s="398">
        <f t="shared" si="6"/>
        <v>0</v>
      </c>
      <c r="O56" s="415"/>
      <c r="P56" s="415"/>
      <c r="Q56" s="398">
        <f t="shared" si="7"/>
        <v>0</v>
      </c>
      <c r="R56" s="416"/>
      <c r="S56" s="416"/>
      <c r="T56" s="416"/>
      <c r="U56" s="411"/>
      <c r="V56" s="411"/>
      <c r="W56" s="417"/>
    </row>
    <row r="57" spans="1:23" s="418" customFormat="1" ht="24.75" customHeight="1">
      <c r="A57" s="266">
        <v>47</v>
      </c>
      <c r="B57" s="286" t="s">
        <v>465</v>
      </c>
      <c r="C57" s="399">
        <f t="shared" si="5"/>
        <v>5578</v>
      </c>
      <c r="D57" s="414">
        <v>2789</v>
      </c>
      <c r="E57" s="410"/>
      <c r="F57" s="414">
        <v>2789</v>
      </c>
      <c r="G57" s="414"/>
      <c r="H57" s="415"/>
      <c r="I57" s="398">
        <f t="shared" si="8"/>
        <v>492.461956</v>
      </c>
      <c r="J57" s="415">
        <v>0</v>
      </c>
      <c r="K57" s="415"/>
      <c r="L57" s="415">
        <v>492.461956</v>
      </c>
      <c r="M57" s="415"/>
      <c r="N57" s="398"/>
      <c r="O57" s="415"/>
      <c r="P57" s="415"/>
      <c r="Q57" s="398">
        <f t="shared" si="7"/>
        <v>0</v>
      </c>
      <c r="R57" s="416"/>
      <c r="S57" s="416"/>
      <c r="T57" s="416"/>
      <c r="U57" s="411"/>
      <c r="V57" s="411"/>
      <c r="W57" s="417"/>
    </row>
    <row r="58" spans="1:23" s="418" customFormat="1" ht="24.75" customHeight="1">
      <c r="A58" s="266">
        <v>48</v>
      </c>
      <c r="B58" s="286" t="s">
        <v>430</v>
      </c>
      <c r="C58" s="399">
        <f t="shared" si="5"/>
        <v>2056</v>
      </c>
      <c r="D58" s="414">
        <v>1028</v>
      </c>
      <c r="E58" s="410"/>
      <c r="F58" s="414">
        <v>1028</v>
      </c>
      <c r="G58" s="414"/>
      <c r="H58" s="415"/>
      <c r="I58" s="398">
        <f t="shared" si="8"/>
        <v>1188.765667</v>
      </c>
      <c r="J58" s="415"/>
      <c r="K58" s="415"/>
      <c r="L58" s="415">
        <f>231.000667+957.765</f>
        <v>1188.765667</v>
      </c>
      <c r="M58" s="415"/>
      <c r="N58" s="398"/>
      <c r="O58" s="415"/>
      <c r="P58" s="415"/>
      <c r="Q58" s="398">
        <f t="shared" si="7"/>
        <v>0</v>
      </c>
      <c r="R58" s="416"/>
      <c r="S58" s="416"/>
      <c r="T58" s="416"/>
      <c r="U58" s="411"/>
      <c r="V58" s="411"/>
      <c r="W58" s="417"/>
    </row>
    <row r="59" spans="1:23" s="418" customFormat="1" ht="24.75" customHeight="1">
      <c r="A59" s="266">
        <v>49</v>
      </c>
      <c r="B59" s="286" t="s">
        <v>458</v>
      </c>
      <c r="C59" s="399">
        <f>SUM(D59:H59)</f>
        <v>0</v>
      </c>
      <c r="D59" s="414"/>
      <c r="E59" s="410"/>
      <c r="F59" s="414"/>
      <c r="G59" s="414"/>
      <c r="H59" s="415"/>
      <c r="I59" s="398">
        <f t="shared" si="8"/>
        <v>3941.905677</v>
      </c>
      <c r="J59" s="415">
        <v>0</v>
      </c>
      <c r="K59" s="415">
        <v>3941.905677</v>
      </c>
      <c r="L59" s="415"/>
      <c r="M59" s="415"/>
      <c r="N59" s="398">
        <f>SUM(O59:P59)</f>
        <v>0</v>
      </c>
      <c r="O59" s="415"/>
      <c r="P59" s="415"/>
      <c r="Q59" s="398">
        <f t="shared" si="7"/>
        <v>0</v>
      </c>
      <c r="R59" s="416"/>
      <c r="S59" s="416"/>
      <c r="T59" s="416"/>
      <c r="U59" s="411"/>
      <c r="V59" s="411"/>
      <c r="W59" s="417"/>
    </row>
    <row r="60" spans="1:23" s="418" customFormat="1" ht="24.75" customHeight="1">
      <c r="A60" s="266">
        <v>50</v>
      </c>
      <c r="B60" s="286" t="s">
        <v>461</v>
      </c>
      <c r="C60" s="399">
        <f>SUM(D60:H60)</f>
        <v>0</v>
      </c>
      <c r="D60" s="414"/>
      <c r="E60" s="410"/>
      <c r="F60" s="414"/>
      <c r="G60" s="414"/>
      <c r="H60" s="415"/>
      <c r="I60" s="398">
        <f t="shared" si="8"/>
        <v>3807.002325</v>
      </c>
      <c r="J60" s="415">
        <v>3807.002325</v>
      </c>
      <c r="K60" s="415"/>
      <c r="L60" s="415"/>
      <c r="M60" s="415"/>
      <c r="N60" s="398"/>
      <c r="O60" s="415"/>
      <c r="P60" s="415"/>
      <c r="Q60" s="398">
        <f t="shared" si="7"/>
        <v>0</v>
      </c>
      <c r="R60" s="416"/>
      <c r="S60" s="416"/>
      <c r="T60" s="416"/>
      <c r="U60" s="411"/>
      <c r="V60" s="411"/>
      <c r="W60" s="417"/>
    </row>
    <row r="61" spans="1:23" s="418" customFormat="1" ht="24.75" customHeight="1">
      <c r="A61" s="266">
        <v>51</v>
      </c>
      <c r="B61" s="402" t="s">
        <v>468</v>
      </c>
      <c r="C61" s="399">
        <f>SUM(D61:H61)</f>
        <v>0</v>
      </c>
      <c r="D61" s="414"/>
      <c r="E61" s="410"/>
      <c r="F61" s="414"/>
      <c r="G61" s="414"/>
      <c r="H61" s="415"/>
      <c r="I61" s="398">
        <f t="shared" si="8"/>
        <v>21712.889881000003</v>
      </c>
      <c r="J61" s="415">
        <v>21686.829881</v>
      </c>
      <c r="K61" s="415"/>
      <c r="L61" s="415"/>
      <c r="M61" s="415"/>
      <c r="N61" s="398"/>
      <c r="O61" s="415"/>
      <c r="P61" s="415"/>
      <c r="Q61" s="398">
        <f t="shared" si="7"/>
        <v>26.06</v>
      </c>
      <c r="R61" s="416"/>
      <c r="S61" s="416"/>
      <c r="T61" s="416">
        <v>26.06</v>
      </c>
      <c r="U61" s="411"/>
      <c r="V61" s="411"/>
      <c r="W61" s="417"/>
    </row>
    <row r="62" spans="1:23" s="418" customFormat="1" ht="24.75" customHeight="1">
      <c r="A62" s="266">
        <v>52</v>
      </c>
      <c r="B62" s="420" t="s">
        <v>470</v>
      </c>
      <c r="C62" s="399">
        <f aca="true" t="shared" si="11" ref="C62:C72">SUM(D62:H62)</f>
        <v>0</v>
      </c>
      <c r="D62" s="414"/>
      <c r="E62" s="410"/>
      <c r="F62" s="414"/>
      <c r="G62" s="414"/>
      <c r="H62" s="415"/>
      <c r="I62" s="398">
        <f t="shared" si="8"/>
        <v>57142.28752</v>
      </c>
      <c r="J62" s="415">
        <v>56511.72752</v>
      </c>
      <c r="K62" s="415"/>
      <c r="L62" s="415"/>
      <c r="M62" s="415"/>
      <c r="N62" s="398"/>
      <c r="O62" s="415"/>
      <c r="P62" s="415"/>
      <c r="Q62" s="398">
        <f t="shared" si="7"/>
        <v>630.56</v>
      </c>
      <c r="R62" s="416"/>
      <c r="S62" s="416"/>
      <c r="T62" s="416">
        <v>630.56</v>
      </c>
      <c r="U62" s="411"/>
      <c r="V62" s="411"/>
      <c r="W62" s="417"/>
    </row>
    <row r="63" spans="1:23" s="418" customFormat="1" ht="24.75" customHeight="1">
      <c r="A63" s="266">
        <v>53</v>
      </c>
      <c r="B63" s="420" t="s">
        <v>471</v>
      </c>
      <c r="C63" s="399">
        <f t="shared" si="11"/>
        <v>0</v>
      </c>
      <c r="D63" s="414"/>
      <c r="E63" s="410"/>
      <c r="F63" s="414"/>
      <c r="G63" s="414"/>
      <c r="H63" s="415"/>
      <c r="I63" s="398">
        <f t="shared" si="8"/>
        <v>129428.397707</v>
      </c>
      <c r="J63" s="415">
        <v>89716.118707</v>
      </c>
      <c r="K63" s="415"/>
      <c r="L63" s="415"/>
      <c r="M63" s="415"/>
      <c r="N63" s="398"/>
      <c r="O63" s="415"/>
      <c r="P63" s="415"/>
      <c r="Q63" s="398">
        <f t="shared" si="7"/>
        <v>39712.279</v>
      </c>
      <c r="R63" s="416"/>
      <c r="S63" s="416"/>
      <c r="T63" s="416">
        <v>39712.279</v>
      </c>
      <c r="U63" s="411"/>
      <c r="V63" s="411"/>
      <c r="W63" s="417"/>
    </row>
    <row r="64" spans="1:23" s="418" customFormat="1" ht="24.75" customHeight="1">
      <c r="A64" s="266">
        <v>54</v>
      </c>
      <c r="B64" s="420" t="s">
        <v>472</v>
      </c>
      <c r="C64" s="399">
        <f t="shared" si="11"/>
        <v>0</v>
      </c>
      <c r="D64" s="414"/>
      <c r="E64" s="410"/>
      <c r="F64" s="414"/>
      <c r="G64" s="414"/>
      <c r="H64" s="415"/>
      <c r="I64" s="398">
        <f t="shared" si="8"/>
        <v>86667.712153</v>
      </c>
      <c r="J64" s="415">
        <v>80179.422884</v>
      </c>
      <c r="K64" s="415">
        <v>3943.447218</v>
      </c>
      <c r="L64" s="415"/>
      <c r="M64" s="415"/>
      <c r="N64" s="398"/>
      <c r="O64" s="415"/>
      <c r="P64" s="415"/>
      <c r="Q64" s="398">
        <f t="shared" si="7"/>
        <v>2544.842051</v>
      </c>
      <c r="R64" s="416"/>
      <c r="S64" s="416"/>
      <c r="T64" s="416">
        <v>2544.842051</v>
      </c>
      <c r="U64" s="411"/>
      <c r="V64" s="411"/>
      <c r="W64" s="417"/>
    </row>
    <row r="65" spans="1:23" s="418" customFormat="1" ht="24.75" customHeight="1">
      <c r="A65" s="266">
        <v>55</v>
      </c>
      <c r="B65" s="66" t="s">
        <v>473</v>
      </c>
      <c r="C65" s="399">
        <f t="shared" si="11"/>
        <v>0</v>
      </c>
      <c r="D65" s="414"/>
      <c r="E65" s="410"/>
      <c r="F65" s="414"/>
      <c r="G65" s="414"/>
      <c r="H65" s="415"/>
      <c r="I65" s="398">
        <f t="shared" si="8"/>
        <v>231.8819</v>
      </c>
      <c r="J65" s="415">
        <v>231.8819</v>
      </c>
      <c r="K65" s="415"/>
      <c r="L65" s="415"/>
      <c r="M65" s="415"/>
      <c r="N65" s="398"/>
      <c r="O65" s="415"/>
      <c r="P65" s="415"/>
      <c r="Q65" s="398">
        <f t="shared" si="7"/>
        <v>0</v>
      </c>
      <c r="R65" s="416"/>
      <c r="S65" s="416"/>
      <c r="T65" s="416"/>
      <c r="U65" s="411"/>
      <c r="V65" s="411"/>
      <c r="W65" s="417"/>
    </row>
    <row r="66" spans="1:23" s="418" customFormat="1" ht="24.75" customHeight="1">
      <c r="A66" s="266">
        <v>56</v>
      </c>
      <c r="B66" s="286" t="s">
        <v>474</v>
      </c>
      <c r="C66" s="399">
        <f t="shared" si="11"/>
        <v>0</v>
      </c>
      <c r="D66" s="414"/>
      <c r="E66" s="410"/>
      <c r="F66" s="414"/>
      <c r="G66" s="414"/>
      <c r="H66" s="415"/>
      <c r="I66" s="398">
        <f t="shared" si="8"/>
        <v>2480.000364</v>
      </c>
      <c r="J66" s="415">
        <v>814.430364</v>
      </c>
      <c r="K66" s="415"/>
      <c r="L66" s="415"/>
      <c r="M66" s="415"/>
      <c r="N66" s="398"/>
      <c r="O66" s="415"/>
      <c r="P66" s="415"/>
      <c r="Q66" s="398">
        <f t="shared" si="7"/>
        <v>1665.57</v>
      </c>
      <c r="R66" s="416"/>
      <c r="S66" s="416"/>
      <c r="T66" s="416">
        <v>1665.57</v>
      </c>
      <c r="U66" s="411"/>
      <c r="V66" s="411"/>
      <c r="W66" s="417"/>
    </row>
    <row r="67" spans="1:23" s="418" customFormat="1" ht="24.75" customHeight="1">
      <c r="A67" s="266">
        <v>57</v>
      </c>
      <c r="B67" s="421" t="s">
        <v>480</v>
      </c>
      <c r="C67" s="399">
        <f t="shared" si="11"/>
        <v>0</v>
      </c>
      <c r="D67" s="414"/>
      <c r="E67" s="410"/>
      <c r="F67" s="414"/>
      <c r="G67" s="414"/>
      <c r="H67" s="415"/>
      <c r="I67" s="398">
        <f t="shared" si="8"/>
        <v>795.469941</v>
      </c>
      <c r="J67" s="415">
        <v>795.469941</v>
      </c>
      <c r="K67" s="415"/>
      <c r="L67" s="415"/>
      <c r="M67" s="415"/>
      <c r="N67" s="398"/>
      <c r="O67" s="415"/>
      <c r="P67" s="415"/>
      <c r="Q67" s="398">
        <f t="shared" si="7"/>
        <v>0</v>
      </c>
      <c r="R67" s="416"/>
      <c r="S67" s="416"/>
      <c r="T67" s="416"/>
      <c r="U67" s="411"/>
      <c r="V67" s="411"/>
      <c r="W67" s="417"/>
    </row>
    <row r="68" spans="1:23" s="418" customFormat="1" ht="24.75" customHeight="1">
      <c r="A68" s="266">
        <v>58</v>
      </c>
      <c r="B68" s="421" t="s">
        <v>475</v>
      </c>
      <c r="C68" s="399">
        <f t="shared" si="11"/>
        <v>0</v>
      </c>
      <c r="D68" s="414"/>
      <c r="E68" s="410"/>
      <c r="F68" s="414"/>
      <c r="G68" s="414"/>
      <c r="H68" s="415"/>
      <c r="I68" s="398">
        <f t="shared" si="8"/>
        <v>2755.76005</v>
      </c>
      <c r="J68" s="415">
        <v>2755.76005</v>
      </c>
      <c r="K68" s="415"/>
      <c r="L68" s="415"/>
      <c r="M68" s="415"/>
      <c r="N68" s="398"/>
      <c r="O68" s="415"/>
      <c r="P68" s="415"/>
      <c r="Q68" s="398">
        <f t="shared" si="7"/>
        <v>0</v>
      </c>
      <c r="R68" s="416"/>
      <c r="S68" s="416"/>
      <c r="T68" s="416"/>
      <c r="U68" s="411"/>
      <c r="V68" s="411"/>
      <c r="W68" s="417"/>
    </row>
    <row r="69" spans="1:23" s="418" customFormat="1" ht="24.75" customHeight="1">
      <c r="A69" s="266">
        <v>59</v>
      </c>
      <c r="B69" s="422" t="s">
        <v>478</v>
      </c>
      <c r="C69" s="399">
        <f t="shared" si="11"/>
        <v>0</v>
      </c>
      <c r="D69" s="414"/>
      <c r="E69" s="423"/>
      <c r="F69" s="414"/>
      <c r="G69" s="414"/>
      <c r="H69" s="415"/>
      <c r="I69" s="398">
        <f t="shared" si="8"/>
        <v>1573.430383</v>
      </c>
      <c r="J69" s="415">
        <v>1573.430383</v>
      </c>
      <c r="K69" s="415"/>
      <c r="L69" s="415"/>
      <c r="M69" s="415"/>
      <c r="N69" s="398"/>
      <c r="O69" s="415"/>
      <c r="P69" s="415"/>
      <c r="Q69" s="398">
        <f t="shared" si="7"/>
        <v>0</v>
      </c>
      <c r="R69" s="416"/>
      <c r="S69" s="416"/>
      <c r="T69" s="416"/>
      <c r="U69" s="411"/>
      <c r="V69" s="411"/>
      <c r="W69" s="417"/>
    </row>
    <row r="70" spans="1:23" s="418" customFormat="1" ht="24.75" customHeight="1">
      <c r="A70" s="266">
        <v>60</v>
      </c>
      <c r="B70" s="421" t="s">
        <v>437</v>
      </c>
      <c r="C70" s="399">
        <f t="shared" si="11"/>
        <v>0</v>
      </c>
      <c r="D70" s="414"/>
      <c r="E70" s="423"/>
      <c r="F70" s="414"/>
      <c r="G70" s="414"/>
      <c r="H70" s="415"/>
      <c r="I70" s="398">
        <f t="shared" si="8"/>
        <v>84692.517135</v>
      </c>
      <c r="J70" s="415">
        <v>84692.517135</v>
      </c>
      <c r="K70" s="415"/>
      <c r="L70" s="415"/>
      <c r="M70" s="415"/>
      <c r="N70" s="398"/>
      <c r="O70" s="415"/>
      <c r="P70" s="415"/>
      <c r="Q70" s="398">
        <f t="shared" si="7"/>
        <v>0</v>
      </c>
      <c r="R70" s="416"/>
      <c r="S70" s="416"/>
      <c r="T70" s="416"/>
      <c r="U70" s="411"/>
      <c r="V70" s="411"/>
      <c r="W70" s="417"/>
    </row>
    <row r="71" spans="1:23" s="418" customFormat="1" ht="24.75" customHeight="1">
      <c r="A71" s="266">
        <v>61</v>
      </c>
      <c r="B71" s="421" t="s">
        <v>476</v>
      </c>
      <c r="C71" s="399">
        <f t="shared" si="11"/>
        <v>0</v>
      </c>
      <c r="D71" s="414"/>
      <c r="E71" s="423"/>
      <c r="F71" s="414"/>
      <c r="G71" s="414"/>
      <c r="H71" s="415"/>
      <c r="I71" s="398">
        <f t="shared" si="8"/>
        <v>0</v>
      </c>
      <c r="J71" s="415">
        <v>0</v>
      </c>
      <c r="K71" s="415"/>
      <c r="L71" s="415"/>
      <c r="M71" s="415"/>
      <c r="N71" s="398"/>
      <c r="O71" s="415"/>
      <c r="P71" s="415"/>
      <c r="Q71" s="398">
        <f t="shared" si="7"/>
        <v>0</v>
      </c>
      <c r="R71" s="416"/>
      <c r="S71" s="416"/>
      <c r="T71" s="416"/>
      <c r="U71" s="411"/>
      <c r="V71" s="411"/>
      <c r="W71" s="417"/>
    </row>
    <row r="72" spans="1:23" s="418" customFormat="1" ht="24.75" customHeight="1">
      <c r="A72" s="266">
        <v>62</v>
      </c>
      <c r="B72" s="421" t="s">
        <v>477</v>
      </c>
      <c r="C72" s="399">
        <f t="shared" si="11"/>
        <v>0</v>
      </c>
      <c r="D72" s="414"/>
      <c r="E72" s="423"/>
      <c r="F72" s="414"/>
      <c r="G72" s="414"/>
      <c r="H72" s="415"/>
      <c r="I72" s="398">
        <f t="shared" si="8"/>
        <v>1000</v>
      </c>
      <c r="J72" s="415">
        <v>1000</v>
      </c>
      <c r="K72" s="415"/>
      <c r="L72" s="415"/>
      <c r="M72" s="415"/>
      <c r="N72" s="398"/>
      <c r="O72" s="415"/>
      <c r="P72" s="415"/>
      <c r="Q72" s="398">
        <f t="shared" si="7"/>
        <v>0</v>
      </c>
      <c r="R72" s="416"/>
      <c r="S72" s="416"/>
      <c r="T72" s="416"/>
      <c r="U72" s="411"/>
      <c r="V72" s="411"/>
      <c r="W72" s="417"/>
    </row>
    <row r="73" spans="1:23" s="418" customFormat="1" ht="24.75" customHeight="1">
      <c r="A73" s="266">
        <v>63</v>
      </c>
      <c r="B73" s="286" t="s">
        <v>463</v>
      </c>
      <c r="C73" s="399">
        <f t="shared" si="5"/>
        <v>15649</v>
      </c>
      <c r="D73" s="414"/>
      <c r="E73" s="423">
        <v>15649</v>
      </c>
      <c r="F73" s="414"/>
      <c r="G73" s="414"/>
      <c r="H73" s="415"/>
      <c r="I73" s="398">
        <f t="shared" si="8"/>
        <v>19366.3895</v>
      </c>
      <c r="J73" s="415">
        <v>0</v>
      </c>
      <c r="K73" s="415">
        <f>15649+3717.3895</f>
        <v>19366.3895</v>
      </c>
      <c r="L73" s="415"/>
      <c r="M73" s="415"/>
      <c r="N73" s="398"/>
      <c r="O73" s="415"/>
      <c r="P73" s="415"/>
      <c r="Q73" s="398">
        <f t="shared" si="7"/>
        <v>0</v>
      </c>
      <c r="R73" s="416"/>
      <c r="S73" s="416"/>
      <c r="T73" s="416"/>
      <c r="U73" s="411"/>
      <c r="V73" s="411"/>
      <c r="W73" s="417"/>
    </row>
    <row r="74" spans="1:23" s="418" customFormat="1" ht="24.75" customHeight="1">
      <c r="A74" s="266">
        <v>64</v>
      </c>
      <c r="B74" s="286" t="s">
        <v>464</v>
      </c>
      <c r="C74" s="399">
        <f t="shared" si="5"/>
        <v>1566</v>
      </c>
      <c r="D74" s="414"/>
      <c r="E74" s="423">
        <v>1566</v>
      </c>
      <c r="F74" s="414"/>
      <c r="G74" s="414"/>
      <c r="H74" s="415"/>
      <c r="I74" s="398">
        <f>SUM(J74:M74,N74,Q74)</f>
        <v>2238.56</v>
      </c>
      <c r="J74" s="415">
        <v>0</v>
      </c>
      <c r="K74" s="415">
        <f>1566+372.56</f>
        <v>1938.56</v>
      </c>
      <c r="L74" s="415"/>
      <c r="M74" s="415"/>
      <c r="N74" s="398"/>
      <c r="O74" s="415"/>
      <c r="P74" s="415"/>
      <c r="Q74" s="398">
        <f t="shared" si="7"/>
        <v>300</v>
      </c>
      <c r="R74" s="416"/>
      <c r="S74" s="416"/>
      <c r="T74" s="416">
        <v>300</v>
      </c>
      <c r="U74" s="411"/>
      <c r="V74" s="411"/>
      <c r="W74" s="417"/>
    </row>
    <row r="75" spans="1:23" s="418" customFormat="1" ht="24.75" customHeight="1">
      <c r="A75" s="266">
        <v>65</v>
      </c>
      <c r="B75" s="421" t="s">
        <v>469</v>
      </c>
      <c r="C75" s="399">
        <f t="shared" si="5"/>
        <v>0</v>
      </c>
      <c r="D75" s="414"/>
      <c r="E75" s="414"/>
      <c r="F75" s="414"/>
      <c r="G75" s="414"/>
      <c r="H75" s="415"/>
      <c r="I75" s="398">
        <f>SUM(J75:M75,N75,Q75)</f>
        <v>2241.464908</v>
      </c>
      <c r="J75" s="415">
        <v>2241.464908</v>
      </c>
      <c r="K75" s="415"/>
      <c r="L75" s="415"/>
      <c r="M75" s="415"/>
      <c r="N75" s="398"/>
      <c r="O75" s="415"/>
      <c r="P75" s="415"/>
      <c r="Q75" s="398">
        <f aca="true" t="shared" si="12" ref="Q75:Q102">SUM(R75:T75)</f>
        <v>0</v>
      </c>
      <c r="R75" s="416"/>
      <c r="S75" s="416"/>
      <c r="T75" s="416"/>
      <c r="U75" s="411"/>
      <c r="V75" s="411"/>
      <c r="W75" s="417"/>
    </row>
    <row r="76" spans="1:23" s="418" customFormat="1" ht="24.75" customHeight="1">
      <c r="A76" s="266">
        <v>66</v>
      </c>
      <c r="B76" s="421" t="s">
        <v>479</v>
      </c>
      <c r="C76" s="399">
        <f t="shared" si="5"/>
        <v>0</v>
      </c>
      <c r="D76" s="414"/>
      <c r="E76" s="414"/>
      <c r="F76" s="414"/>
      <c r="G76" s="414"/>
      <c r="H76" s="415"/>
      <c r="I76" s="398">
        <f>SUM(J76:M76,N76,Q76)</f>
        <v>90</v>
      </c>
      <c r="J76" s="415">
        <v>90</v>
      </c>
      <c r="K76" s="415"/>
      <c r="L76" s="415"/>
      <c r="M76" s="415"/>
      <c r="N76" s="398"/>
      <c r="O76" s="415"/>
      <c r="P76" s="415"/>
      <c r="Q76" s="398">
        <f t="shared" si="12"/>
        <v>0</v>
      </c>
      <c r="R76" s="416"/>
      <c r="S76" s="416"/>
      <c r="T76" s="416"/>
      <c r="U76" s="411"/>
      <c r="V76" s="411"/>
      <c r="W76" s="417"/>
    </row>
    <row r="77" spans="1:23" s="418" customFormat="1" ht="24.75" customHeight="1">
      <c r="A77" s="266">
        <v>67</v>
      </c>
      <c r="B77" s="421" t="s">
        <v>481</v>
      </c>
      <c r="C77" s="399">
        <f t="shared" si="5"/>
        <v>0</v>
      </c>
      <c r="D77" s="414"/>
      <c r="E77" s="414"/>
      <c r="F77" s="414"/>
      <c r="G77" s="414"/>
      <c r="H77" s="415"/>
      <c r="I77" s="398">
        <f>SUM(J77:M77,N77,Q77)</f>
        <v>11721.804</v>
      </c>
      <c r="J77" s="415">
        <v>11721.804</v>
      </c>
      <c r="K77" s="415"/>
      <c r="L77" s="415"/>
      <c r="M77" s="415"/>
      <c r="N77" s="398"/>
      <c r="O77" s="415"/>
      <c r="P77" s="415"/>
      <c r="Q77" s="398">
        <f t="shared" si="12"/>
        <v>0</v>
      </c>
      <c r="R77" s="416"/>
      <c r="S77" s="416"/>
      <c r="T77" s="416"/>
      <c r="U77" s="411"/>
      <c r="V77" s="411"/>
      <c r="W77" s="417"/>
    </row>
    <row r="78" spans="1:23" s="429" customFormat="1" ht="24.75" customHeight="1">
      <c r="A78" s="44" t="s">
        <v>50</v>
      </c>
      <c r="B78" s="424" t="s">
        <v>413</v>
      </c>
      <c r="C78" s="426">
        <f>SUM(C79:C91)</f>
        <v>11221</v>
      </c>
      <c r="D78" s="426"/>
      <c r="E78" s="426">
        <f aca="true" t="shared" si="13" ref="E78:T78">SUM(E79:E91)</f>
        <v>11221</v>
      </c>
      <c r="F78" s="426">
        <f t="shared" si="13"/>
        <v>0</v>
      </c>
      <c r="G78" s="426">
        <f t="shared" si="13"/>
        <v>0</v>
      </c>
      <c r="H78" s="427">
        <f t="shared" si="13"/>
        <v>0</v>
      </c>
      <c r="I78" s="427">
        <f t="shared" si="13"/>
        <v>15115.329857</v>
      </c>
      <c r="J78" s="427">
        <f t="shared" si="13"/>
        <v>0</v>
      </c>
      <c r="K78" s="427">
        <f t="shared" si="13"/>
        <v>15081.148357</v>
      </c>
      <c r="L78" s="427">
        <f t="shared" si="13"/>
        <v>0</v>
      </c>
      <c r="M78" s="427">
        <f t="shared" si="13"/>
        <v>0</v>
      </c>
      <c r="N78" s="427">
        <f t="shared" si="13"/>
        <v>0</v>
      </c>
      <c r="O78" s="427">
        <f t="shared" si="13"/>
        <v>0</v>
      </c>
      <c r="P78" s="427">
        <f t="shared" si="13"/>
        <v>0</v>
      </c>
      <c r="Q78" s="427">
        <f t="shared" si="13"/>
        <v>34.1815</v>
      </c>
      <c r="R78" s="425">
        <f t="shared" si="13"/>
        <v>34.1815</v>
      </c>
      <c r="S78" s="425">
        <f t="shared" si="13"/>
        <v>0</v>
      </c>
      <c r="T78" s="425">
        <f t="shared" si="13"/>
        <v>0</v>
      </c>
      <c r="U78" s="407">
        <f aca="true" t="shared" si="14" ref="U78:U87">I78/C78</f>
        <v>1.347057290526691</v>
      </c>
      <c r="V78" s="407">
        <f aca="true" t="shared" si="15" ref="V78:V90">K78/E78</f>
        <v>1.3440110825238392</v>
      </c>
      <c r="W78" s="428"/>
    </row>
    <row r="79" spans="1:23" s="418" customFormat="1" ht="24.75" customHeight="1">
      <c r="A79" s="42">
        <v>1</v>
      </c>
      <c r="B79" s="286" t="s">
        <v>422</v>
      </c>
      <c r="C79" s="414">
        <f aca="true" t="shared" si="16" ref="C79:C90">SUM(D79:H79)</f>
        <v>2806</v>
      </c>
      <c r="D79" s="414"/>
      <c r="E79" s="423">
        <v>2806</v>
      </c>
      <c r="F79" s="414"/>
      <c r="G79" s="414"/>
      <c r="H79" s="415"/>
      <c r="I79" s="398">
        <f aca="true" t="shared" si="17" ref="I79:I91">SUM(J79:M79,N79,Q79)</f>
        <v>3149</v>
      </c>
      <c r="J79" s="415">
        <v>0</v>
      </c>
      <c r="K79" s="415">
        <f>2983+166</f>
        <v>3149</v>
      </c>
      <c r="L79" s="415"/>
      <c r="M79" s="415"/>
      <c r="N79" s="398">
        <f aca="true" t="shared" si="18" ref="N79:N90">SUM(O79:P79)</f>
        <v>0</v>
      </c>
      <c r="O79" s="415"/>
      <c r="P79" s="415"/>
      <c r="Q79" s="398">
        <f aca="true" t="shared" si="19" ref="Q79:Q90">SUM(R79:T79)</f>
        <v>0</v>
      </c>
      <c r="R79" s="416"/>
      <c r="S79" s="416"/>
      <c r="T79" s="416"/>
      <c r="U79" s="411">
        <f t="shared" si="14"/>
        <v>1.1222380612972203</v>
      </c>
      <c r="V79" s="411">
        <f t="shared" si="15"/>
        <v>1.1222380612972203</v>
      </c>
      <c r="W79" s="417"/>
    </row>
    <row r="80" spans="1:23" s="418" customFormat="1" ht="24.75" customHeight="1">
      <c r="A80" s="42">
        <v>2</v>
      </c>
      <c r="B80" s="286" t="s">
        <v>421</v>
      </c>
      <c r="C80" s="414">
        <f t="shared" si="16"/>
        <v>1980</v>
      </c>
      <c r="D80" s="414"/>
      <c r="E80" s="423">
        <v>1980</v>
      </c>
      <c r="F80" s="414"/>
      <c r="G80" s="414"/>
      <c r="H80" s="415"/>
      <c r="I80" s="398">
        <f t="shared" si="17"/>
        <v>2685</v>
      </c>
      <c r="J80" s="415">
        <v>0</v>
      </c>
      <c r="K80" s="415">
        <f>2166+485+34</f>
        <v>2685</v>
      </c>
      <c r="L80" s="415"/>
      <c r="M80" s="415"/>
      <c r="N80" s="398">
        <f t="shared" si="18"/>
        <v>0</v>
      </c>
      <c r="O80" s="415"/>
      <c r="P80" s="415"/>
      <c r="Q80" s="398">
        <f t="shared" si="19"/>
        <v>0</v>
      </c>
      <c r="R80" s="416"/>
      <c r="S80" s="416"/>
      <c r="T80" s="416"/>
      <c r="U80" s="411">
        <f t="shared" si="14"/>
        <v>1.356060606060606</v>
      </c>
      <c r="V80" s="411">
        <f t="shared" si="15"/>
        <v>1.356060606060606</v>
      </c>
      <c r="W80" s="417"/>
    </row>
    <row r="81" spans="1:23" s="418" customFormat="1" ht="24.75" customHeight="1">
      <c r="A81" s="42">
        <v>3</v>
      </c>
      <c r="B81" s="286" t="s">
        <v>195</v>
      </c>
      <c r="C81" s="414">
        <f t="shared" si="16"/>
        <v>300</v>
      </c>
      <c r="D81" s="414"/>
      <c r="E81" s="423">
        <v>300</v>
      </c>
      <c r="F81" s="414"/>
      <c r="G81" s="414"/>
      <c r="H81" s="415"/>
      <c r="I81" s="398">
        <f t="shared" si="17"/>
        <v>308</v>
      </c>
      <c r="J81" s="415">
        <v>0</v>
      </c>
      <c r="K81" s="415">
        <f>304+4</f>
        <v>308</v>
      </c>
      <c r="L81" s="415"/>
      <c r="M81" s="415"/>
      <c r="N81" s="398">
        <f t="shared" si="18"/>
        <v>0</v>
      </c>
      <c r="O81" s="415"/>
      <c r="P81" s="415"/>
      <c r="Q81" s="398">
        <f t="shared" si="19"/>
        <v>0</v>
      </c>
      <c r="R81" s="416"/>
      <c r="S81" s="416"/>
      <c r="T81" s="416"/>
      <c r="U81" s="411">
        <f t="shared" si="14"/>
        <v>1.0266666666666666</v>
      </c>
      <c r="V81" s="411">
        <f t="shared" si="15"/>
        <v>1.0266666666666666</v>
      </c>
      <c r="W81" s="417"/>
    </row>
    <row r="82" spans="1:23" s="418" customFormat="1" ht="24.75" customHeight="1">
      <c r="A82" s="42">
        <v>4</v>
      </c>
      <c r="B82" s="286" t="s">
        <v>93</v>
      </c>
      <c r="C82" s="414">
        <f t="shared" si="16"/>
        <v>380</v>
      </c>
      <c r="D82" s="414"/>
      <c r="E82" s="423">
        <v>380</v>
      </c>
      <c r="F82" s="414"/>
      <c r="G82" s="414"/>
      <c r="H82" s="415"/>
      <c r="I82" s="398">
        <f t="shared" si="17"/>
        <v>393</v>
      </c>
      <c r="J82" s="415">
        <v>0</v>
      </c>
      <c r="K82" s="415">
        <f>385+8</f>
        <v>393</v>
      </c>
      <c r="L82" s="415"/>
      <c r="M82" s="415"/>
      <c r="N82" s="398">
        <f t="shared" si="18"/>
        <v>0</v>
      </c>
      <c r="O82" s="415"/>
      <c r="P82" s="415"/>
      <c r="Q82" s="398">
        <f t="shared" si="19"/>
        <v>0</v>
      </c>
      <c r="R82" s="416"/>
      <c r="S82" s="416"/>
      <c r="T82" s="416"/>
      <c r="U82" s="411">
        <f t="shared" si="14"/>
        <v>1.0342105263157895</v>
      </c>
      <c r="V82" s="411">
        <f t="shared" si="15"/>
        <v>1.0342105263157895</v>
      </c>
      <c r="W82" s="417"/>
    </row>
    <row r="83" spans="1:23" s="418" customFormat="1" ht="24.75" customHeight="1">
      <c r="A83" s="42">
        <v>5</v>
      </c>
      <c r="B83" s="286" t="s">
        <v>423</v>
      </c>
      <c r="C83" s="414">
        <f t="shared" si="16"/>
        <v>306</v>
      </c>
      <c r="D83" s="414"/>
      <c r="E83" s="423">
        <v>306</v>
      </c>
      <c r="F83" s="414"/>
      <c r="G83" s="414"/>
      <c r="H83" s="415"/>
      <c r="I83" s="398">
        <f t="shared" si="17"/>
        <v>316</v>
      </c>
      <c r="J83" s="415">
        <v>0</v>
      </c>
      <c r="K83" s="415">
        <f>311+5</f>
        <v>316</v>
      </c>
      <c r="L83" s="415"/>
      <c r="M83" s="415"/>
      <c r="N83" s="398">
        <f t="shared" si="18"/>
        <v>0</v>
      </c>
      <c r="O83" s="415"/>
      <c r="P83" s="415"/>
      <c r="Q83" s="398">
        <f t="shared" si="19"/>
        <v>0</v>
      </c>
      <c r="R83" s="416"/>
      <c r="S83" s="416"/>
      <c r="T83" s="416"/>
      <c r="U83" s="411">
        <f t="shared" si="14"/>
        <v>1.0326797385620916</v>
      </c>
      <c r="V83" s="411">
        <f t="shared" si="15"/>
        <v>1.0326797385620916</v>
      </c>
      <c r="W83" s="417"/>
    </row>
    <row r="84" spans="1:23" s="418" customFormat="1" ht="24.75" customHeight="1">
      <c r="A84" s="42">
        <v>6</v>
      </c>
      <c r="B84" s="286" t="s">
        <v>428</v>
      </c>
      <c r="C84" s="414">
        <f t="shared" si="16"/>
        <v>790</v>
      </c>
      <c r="D84" s="414"/>
      <c r="E84" s="423">
        <v>790</v>
      </c>
      <c r="F84" s="414"/>
      <c r="G84" s="414"/>
      <c r="H84" s="415"/>
      <c r="I84" s="398">
        <f t="shared" si="17"/>
        <v>2936.664198</v>
      </c>
      <c r="J84" s="415">
        <v>0</v>
      </c>
      <c r="K84" s="415">
        <f>931+1998.664198+7</f>
        <v>2936.664198</v>
      </c>
      <c r="L84" s="415"/>
      <c r="M84" s="415"/>
      <c r="N84" s="398">
        <f t="shared" si="18"/>
        <v>0</v>
      </c>
      <c r="O84" s="415"/>
      <c r="P84" s="415"/>
      <c r="Q84" s="398">
        <f t="shared" si="19"/>
        <v>0</v>
      </c>
      <c r="R84" s="416"/>
      <c r="S84" s="416"/>
      <c r="T84" s="416"/>
      <c r="U84" s="411">
        <f t="shared" si="14"/>
        <v>3.7172964531645567</v>
      </c>
      <c r="V84" s="411">
        <f t="shared" si="15"/>
        <v>3.7172964531645567</v>
      </c>
      <c r="W84" s="417"/>
    </row>
    <row r="85" spans="1:23" s="418" customFormat="1" ht="24.75" customHeight="1">
      <c r="A85" s="42">
        <v>7</v>
      </c>
      <c r="B85" s="286" t="s">
        <v>193</v>
      </c>
      <c r="C85" s="414">
        <f t="shared" si="16"/>
        <v>1112</v>
      </c>
      <c r="D85" s="414"/>
      <c r="E85" s="423">
        <v>1112</v>
      </c>
      <c r="F85" s="414"/>
      <c r="G85" s="414"/>
      <c r="H85" s="415"/>
      <c r="I85" s="398">
        <f t="shared" si="17"/>
        <v>1099.75</v>
      </c>
      <c r="J85" s="415">
        <v>0</v>
      </c>
      <c r="K85" s="415">
        <v>1084.75</v>
      </c>
      <c r="L85" s="415"/>
      <c r="M85" s="415"/>
      <c r="N85" s="398">
        <f t="shared" si="18"/>
        <v>0</v>
      </c>
      <c r="O85" s="415"/>
      <c r="P85" s="415"/>
      <c r="Q85" s="398">
        <f t="shared" si="19"/>
        <v>15</v>
      </c>
      <c r="R85" s="416">
        <v>15</v>
      </c>
      <c r="S85" s="416"/>
      <c r="T85" s="416"/>
      <c r="U85" s="411">
        <f t="shared" si="14"/>
        <v>0.9889838129496403</v>
      </c>
      <c r="V85" s="411">
        <f t="shared" si="15"/>
        <v>0.9754946043165468</v>
      </c>
      <c r="W85" s="417"/>
    </row>
    <row r="86" spans="1:23" s="418" customFormat="1" ht="24.75" customHeight="1">
      <c r="A86" s="42">
        <v>8</v>
      </c>
      <c r="B86" s="286" t="s">
        <v>424</v>
      </c>
      <c r="C86" s="414">
        <f t="shared" si="16"/>
        <v>260</v>
      </c>
      <c r="D86" s="414"/>
      <c r="E86" s="423">
        <v>260</v>
      </c>
      <c r="F86" s="414"/>
      <c r="G86" s="414"/>
      <c r="H86" s="415"/>
      <c r="I86" s="398">
        <f t="shared" si="17"/>
        <v>325.915659</v>
      </c>
      <c r="J86" s="415">
        <v>0</v>
      </c>
      <c r="K86" s="415">
        <v>325.915659</v>
      </c>
      <c r="L86" s="415"/>
      <c r="M86" s="415"/>
      <c r="N86" s="398">
        <f t="shared" si="18"/>
        <v>0</v>
      </c>
      <c r="O86" s="415"/>
      <c r="P86" s="415"/>
      <c r="Q86" s="398">
        <f t="shared" si="19"/>
        <v>0</v>
      </c>
      <c r="R86" s="416"/>
      <c r="S86" s="416"/>
      <c r="T86" s="416"/>
      <c r="U86" s="411">
        <f t="shared" si="14"/>
        <v>1.2535217653846153</v>
      </c>
      <c r="V86" s="411">
        <f t="shared" si="15"/>
        <v>1.2535217653846153</v>
      </c>
      <c r="W86" s="417"/>
    </row>
    <row r="87" spans="1:23" s="418" customFormat="1" ht="24.75" customHeight="1">
      <c r="A87" s="42">
        <v>9</v>
      </c>
      <c r="B87" s="286" t="s">
        <v>425</v>
      </c>
      <c r="C87" s="414">
        <f t="shared" si="16"/>
        <v>890</v>
      </c>
      <c r="D87" s="414"/>
      <c r="E87" s="423">
        <v>890</v>
      </c>
      <c r="F87" s="414"/>
      <c r="G87" s="414"/>
      <c r="H87" s="415"/>
      <c r="I87" s="398">
        <f t="shared" si="17"/>
        <v>1042</v>
      </c>
      <c r="J87" s="415">
        <v>0</v>
      </c>
      <c r="K87" s="415">
        <f>1030+12</f>
        <v>1042</v>
      </c>
      <c r="L87" s="415"/>
      <c r="M87" s="415"/>
      <c r="N87" s="398">
        <f t="shared" si="18"/>
        <v>0</v>
      </c>
      <c r="O87" s="415"/>
      <c r="P87" s="415"/>
      <c r="Q87" s="398">
        <f t="shared" si="19"/>
        <v>0</v>
      </c>
      <c r="R87" s="416"/>
      <c r="S87" s="416"/>
      <c r="T87" s="416"/>
      <c r="U87" s="411">
        <f t="shared" si="14"/>
        <v>1.1707865168539326</v>
      </c>
      <c r="V87" s="411">
        <f t="shared" si="15"/>
        <v>1.1707865168539326</v>
      </c>
      <c r="W87" s="417"/>
    </row>
    <row r="88" spans="1:23" s="418" customFormat="1" ht="24.75" customHeight="1">
      <c r="A88" s="42">
        <v>10</v>
      </c>
      <c r="B88" s="286" t="s">
        <v>105</v>
      </c>
      <c r="C88" s="414">
        <f t="shared" si="16"/>
        <v>198</v>
      </c>
      <c r="D88" s="414"/>
      <c r="E88" s="423">
        <v>198</v>
      </c>
      <c r="F88" s="414"/>
      <c r="G88" s="414"/>
      <c r="H88" s="415"/>
      <c r="I88" s="398">
        <f t="shared" si="17"/>
        <v>200</v>
      </c>
      <c r="J88" s="415">
        <v>0</v>
      </c>
      <c r="K88" s="415">
        <v>184.732</v>
      </c>
      <c r="L88" s="415"/>
      <c r="M88" s="415"/>
      <c r="N88" s="398">
        <f t="shared" si="18"/>
        <v>0</v>
      </c>
      <c r="O88" s="415"/>
      <c r="P88" s="415"/>
      <c r="Q88" s="398">
        <f t="shared" si="19"/>
        <v>15.268</v>
      </c>
      <c r="R88" s="416">
        <v>15.268</v>
      </c>
      <c r="S88" s="416"/>
      <c r="T88" s="416"/>
      <c r="U88" s="411">
        <f>I88/C88</f>
        <v>1.0101010101010102</v>
      </c>
      <c r="V88" s="411">
        <f t="shared" si="15"/>
        <v>0.932989898989899</v>
      </c>
      <c r="W88" s="417"/>
    </row>
    <row r="89" spans="1:23" s="418" customFormat="1" ht="24.75" customHeight="1">
      <c r="A89" s="42">
        <v>11</v>
      </c>
      <c r="B89" s="286" t="s">
        <v>426</v>
      </c>
      <c r="C89" s="414">
        <f t="shared" si="16"/>
        <v>326</v>
      </c>
      <c r="D89" s="414"/>
      <c r="E89" s="430">
        <v>326</v>
      </c>
      <c r="F89" s="414"/>
      <c r="G89" s="414"/>
      <c r="H89" s="415"/>
      <c r="I89" s="398">
        <f t="shared" si="17"/>
        <v>350</v>
      </c>
      <c r="J89" s="415">
        <v>0</v>
      </c>
      <c r="K89" s="415">
        <f>327.0865+19</f>
        <v>346.0865</v>
      </c>
      <c r="L89" s="415"/>
      <c r="M89" s="415"/>
      <c r="N89" s="398">
        <f t="shared" si="18"/>
        <v>0</v>
      </c>
      <c r="O89" s="415"/>
      <c r="P89" s="415"/>
      <c r="Q89" s="398">
        <f t="shared" si="19"/>
        <v>3.9135</v>
      </c>
      <c r="R89" s="416">
        <v>3.9135</v>
      </c>
      <c r="S89" s="416"/>
      <c r="T89" s="416"/>
      <c r="U89" s="411">
        <f>I89/C89</f>
        <v>1.0736196319018405</v>
      </c>
      <c r="V89" s="411">
        <f t="shared" si="15"/>
        <v>1.0616150306748466</v>
      </c>
      <c r="W89" s="417"/>
    </row>
    <row r="90" spans="1:23" s="418" customFormat="1" ht="24.75" customHeight="1">
      <c r="A90" s="42">
        <v>12</v>
      </c>
      <c r="B90" s="286" t="s">
        <v>427</v>
      </c>
      <c r="C90" s="399">
        <f t="shared" si="16"/>
        <v>1873</v>
      </c>
      <c r="D90" s="414"/>
      <c r="E90" s="430">
        <v>1873</v>
      </c>
      <c r="F90" s="414"/>
      <c r="G90" s="414"/>
      <c r="H90" s="415"/>
      <c r="I90" s="398">
        <f t="shared" si="17"/>
        <v>1956</v>
      </c>
      <c r="J90" s="415">
        <v>0</v>
      </c>
      <c r="K90" s="415">
        <f>1920+36</f>
        <v>1956</v>
      </c>
      <c r="L90" s="415"/>
      <c r="M90" s="415"/>
      <c r="N90" s="398">
        <f t="shared" si="18"/>
        <v>0</v>
      </c>
      <c r="O90" s="415"/>
      <c r="P90" s="415"/>
      <c r="Q90" s="398">
        <f t="shared" si="19"/>
        <v>0</v>
      </c>
      <c r="R90" s="416"/>
      <c r="S90" s="416"/>
      <c r="T90" s="416"/>
      <c r="U90" s="411">
        <f>I90/C90</f>
        <v>1.0443139348638548</v>
      </c>
      <c r="V90" s="411">
        <f t="shared" si="15"/>
        <v>1.0443139348638548</v>
      </c>
      <c r="W90" s="417"/>
    </row>
    <row r="91" spans="1:23" s="418" customFormat="1" ht="24.75" customHeight="1">
      <c r="A91" s="42">
        <v>13</v>
      </c>
      <c r="B91" s="286" t="s">
        <v>97</v>
      </c>
      <c r="C91" s="414">
        <f aca="true" t="shared" si="20" ref="C91:C102">SUM(D91:H91)</f>
        <v>0</v>
      </c>
      <c r="D91" s="414"/>
      <c r="E91" s="414"/>
      <c r="F91" s="414"/>
      <c r="G91" s="414"/>
      <c r="H91" s="415"/>
      <c r="I91" s="398">
        <f t="shared" si="17"/>
        <v>354</v>
      </c>
      <c r="J91" s="415">
        <v>0</v>
      </c>
      <c r="K91" s="415">
        <v>354</v>
      </c>
      <c r="L91" s="415"/>
      <c r="M91" s="415"/>
      <c r="N91" s="398">
        <f t="shared" si="6"/>
        <v>0</v>
      </c>
      <c r="O91" s="415"/>
      <c r="P91" s="415"/>
      <c r="Q91" s="398">
        <f t="shared" si="12"/>
        <v>0</v>
      </c>
      <c r="R91" s="416"/>
      <c r="S91" s="416"/>
      <c r="T91" s="416"/>
      <c r="U91" s="411"/>
      <c r="V91" s="411"/>
      <c r="W91" s="417"/>
    </row>
    <row r="92" spans="1:23" s="429" customFormat="1" ht="24.75" customHeight="1">
      <c r="A92" s="44" t="s">
        <v>51</v>
      </c>
      <c r="B92" s="424" t="s">
        <v>467</v>
      </c>
      <c r="C92" s="426">
        <f>SUM(C93:C102)</f>
        <v>0</v>
      </c>
      <c r="D92" s="426"/>
      <c r="E92" s="426">
        <f aca="true" t="shared" si="21" ref="E92:P92">SUM(E93:E102)</f>
        <v>0</v>
      </c>
      <c r="F92" s="426">
        <f t="shared" si="21"/>
        <v>0</v>
      </c>
      <c r="G92" s="426">
        <f t="shared" si="21"/>
        <v>0</v>
      </c>
      <c r="H92" s="427">
        <f t="shared" si="21"/>
        <v>0</v>
      </c>
      <c r="I92" s="427">
        <f t="shared" si="21"/>
        <v>834848.7757070002</v>
      </c>
      <c r="J92" s="427">
        <v>677839.3507070001</v>
      </c>
      <c r="K92" s="427">
        <f t="shared" si="21"/>
        <v>0</v>
      </c>
      <c r="L92" s="427">
        <f t="shared" si="21"/>
        <v>0</v>
      </c>
      <c r="M92" s="427">
        <f t="shared" si="21"/>
        <v>0</v>
      </c>
      <c r="N92" s="427">
        <f t="shared" si="21"/>
        <v>0</v>
      </c>
      <c r="O92" s="427">
        <f t="shared" si="21"/>
        <v>0</v>
      </c>
      <c r="P92" s="427">
        <f t="shared" si="21"/>
        <v>0</v>
      </c>
      <c r="Q92" s="394">
        <f t="shared" si="12"/>
        <v>157009.42500000002</v>
      </c>
      <c r="R92" s="425">
        <f>SUM(R93:R102)</f>
        <v>0</v>
      </c>
      <c r="S92" s="425">
        <f>SUM(S93:S102)</f>
        <v>0</v>
      </c>
      <c r="T92" s="425">
        <f>SUM(T93:T102)</f>
        <v>157009.42500000002</v>
      </c>
      <c r="U92" s="407"/>
      <c r="V92" s="407"/>
      <c r="W92" s="428"/>
    </row>
    <row r="93" spans="1:23" s="418" customFormat="1" ht="24.75" customHeight="1">
      <c r="A93" s="152">
        <v>1</v>
      </c>
      <c r="B93" s="66" t="s">
        <v>328</v>
      </c>
      <c r="C93" s="414">
        <f t="shared" si="20"/>
        <v>0</v>
      </c>
      <c r="D93" s="414"/>
      <c r="E93" s="414"/>
      <c r="F93" s="414"/>
      <c r="G93" s="414"/>
      <c r="H93" s="415"/>
      <c r="I93" s="398">
        <f aca="true" t="shared" si="22" ref="I93:I102">SUM(J93:M93,N93,Q93)</f>
        <v>94686.357021</v>
      </c>
      <c r="J93" s="415">
        <v>54598.287021</v>
      </c>
      <c r="K93" s="415"/>
      <c r="L93" s="415"/>
      <c r="M93" s="415"/>
      <c r="N93" s="398">
        <f aca="true" t="shared" si="23" ref="N93:N102">SUM(O93:P93)</f>
        <v>0</v>
      </c>
      <c r="O93" s="415"/>
      <c r="P93" s="415"/>
      <c r="Q93" s="398">
        <f t="shared" si="12"/>
        <v>40088.07</v>
      </c>
      <c r="R93" s="416"/>
      <c r="S93" s="416"/>
      <c r="T93" s="416">
        <v>40088.07</v>
      </c>
      <c r="U93" s="411"/>
      <c r="V93" s="411"/>
      <c r="W93" s="417"/>
    </row>
    <row r="94" spans="1:23" s="418" customFormat="1" ht="24.75" customHeight="1">
      <c r="A94" s="152">
        <v>2</v>
      </c>
      <c r="B94" s="66" t="s">
        <v>326</v>
      </c>
      <c r="C94" s="414">
        <f t="shared" si="20"/>
        <v>0</v>
      </c>
      <c r="D94" s="414"/>
      <c r="E94" s="414"/>
      <c r="F94" s="414"/>
      <c r="G94" s="414"/>
      <c r="H94" s="415"/>
      <c r="I94" s="398">
        <f t="shared" si="22"/>
        <v>55341.515042</v>
      </c>
      <c r="J94" s="415">
        <v>44454.605042</v>
      </c>
      <c r="K94" s="415"/>
      <c r="L94" s="415"/>
      <c r="M94" s="415"/>
      <c r="N94" s="398">
        <f t="shared" si="23"/>
        <v>0</v>
      </c>
      <c r="O94" s="415"/>
      <c r="P94" s="415"/>
      <c r="Q94" s="398">
        <f t="shared" si="12"/>
        <v>10886.91</v>
      </c>
      <c r="R94" s="416"/>
      <c r="S94" s="416"/>
      <c r="T94" s="416">
        <v>10886.91</v>
      </c>
      <c r="U94" s="411"/>
      <c r="V94" s="411"/>
      <c r="W94" s="417"/>
    </row>
    <row r="95" spans="1:23" s="418" customFormat="1" ht="24.75" customHeight="1">
      <c r="A95" s="152">
        <v>3</v>
      </c>
      <c r="B95" s="66" t="s">
        <v>327</v>
      </c>
      <c r="C95" s="414">
        <f t="shared" si="20"/>
        <v>0</v>
      </c>
      <c r="D95" s="414"/>
      <c r="E95" s="414"/>
      <c r="F95" s="414"/>
      <c r="G95" s="414"/>
      <c r="H95" s="415"/>
      <c r="I95" s="398">
        <f t="shared" si="22"/>
        <v>82283.537501</v>
      </c>
      <c r="J95" s="415">
        <v>50207.565501</v>
      </c>
      <c r="K95" s="415"/>
      <c r="L95" s="415"/>
      <c r="M95" s="415"/>
      <c r="N95" s="398">
        <f t="shared" si="23"/>
        <v>0</v>
      </c>
      <c r="O95" s="415"/>
      <c r="P95" s="415"/>
      <c r="Q95" s="398">
        <f t="shared" si="12"/>
        <v>32075.972</v>
      </c>
      <c r="R95" s="416"/>
      <c r="S95" s="416"/>
      <c r="T95" s="416">
        <v>32075.972</v>
      </c>
      <c r="U95" s="411"/>
      <c r="V95" s="411"/>
      <c r="W95" s="417"/>
    </row>
    <row r="96" spans="1:23" s="418" customFormat="1" ht="24.75" customHeight="1">
      <c r="A96" s="152">
        <v>4</v>
      </c>
      <c r="B96" s="66" t="s">
        <v>329</v>
      </c>
      <c r="C96" s="414">
        <f t="shared" si="20"/>
        <v>0</v>
      </c>
      <c r="D96" s="414"/>
      <c r="E96" s="414"/>
      <c r="F96" s="414"/>
      <c r="G96" s="414"/>
      <c r="H96" s="415"/>
      <c r="I96" s="398">
        <f t="shared" si="22"/>
        <v>46621.572018000006</v>
      </c>
      <c r="J96" s="415">
        <v>38752.86201800001</v>
      </c>
      <c r="K96" s="415"/>
      <c r="L96" s="415"/>
      <c r="M96" s="415"/>
      <c r="N96" s="398">
        <f t="shared" si="23"/>
        <v>0</v>
      </c>
      <c r="O96" s="415"/>
      <c r="P96" s="415"/>
      <c r="Q96" s="398">
        <f t="shared" si="12"/>
        <v>7868.71</v>
      </c>
      <c r="R96" s="416"/>
      <c r="S96" s="416"/>
      <c r="T96" s="416">
        <v>7868.71</v>
      </c>
      <c r="U96" s="411"/>
      <c r="V96" s="411"/>
      <c r="W96" s="417"/>
    </row>
    <row r="97" spans="1:23" s="418" customFormat="1" ht="24.75" customHeight="1">
      <c r="A97" s="152">
        <v>5</v>
      </c>
      <c r="B97" s="66" t="s">
        <v>330</v>
      </c>
      <c r="C97" s="414">
        <f t="shared" si="20"/>
        <v>0</v>
      </c>
      <c r="D97" s="414"/>
      <c r="E97" s="414"/>
      <c r="F97" s="414"/>
      <c r="G97" s="414"/>
      <c r="H97" s="415"/>
      <c r="I97" s="398">
        <f t="shared" si="22"/>
        <v>50607.328546000004</v>
      </c>
      <c r="J97" s="415">
        <v>43988.625546</v>
      </c>
      <c r="K97" s="415"/>
      <c r="L97" s="415"/>
      <c r="M97" s="415"/>
      <c r="N97" s="398">
        <f t="shared" si="23"/>
        <v>0</v>
      </c>
      <c r="O97" s="415"/>
      <c r="P97" s="415"/>
      <c r="Q97" s="398">
        <f t="shared" si="12"/>
        <v>6618.703</v>
      </c>
      <c r="R97" s="416"/>
      <c r="S97" s="416"/>
      <c r="T97" s="416">
        <v>6618.703</v>
      </c>
      <c r="U97" s="411"/>
      <c r="V97" s="411"/>
      <c r="W97" s="417"/>
    </row>
    <row r="98" spans="1:23" s="418" customFormat="1" ht="24.75" customHeight="1">
      <c r="A98" s="152">
        <v>6</v>
      </c>
      <c r="B98" s="66" t="s">
        <v>331</v>
      </c>
      <c r="C98" s="414">
        <f t="shared" si="20"/>
        <v>0</v>
      </c>
      <c r="D98" s="414"/>
      <c r="E98" s="414"/>
      <c r="F98" s="414"/>
      <c r="G98" s="414"/>
      <c r="H98" s="415"/>
      <c r="I98" s="398">
        <f t="shared" si="22"/>
        <v>79820.45655</v>
      </c>
      <c r="J98" s="415">
        <v>67833.76655</v>
      </c>
      <c r="K98" s="415"/>
      <c r="L98" s="415"/>
      <c r="M98" s="415"/>
      <c r="N98" s="398">
        <f t="shared" si="23"/>
        <v>0</v>
      </c>
      <c r="O98" s="415"/>
      <c r="P98" s="415"/>
      <c r="Q98" s="398">
        <f t="shared" si="12"/>
        <v>11986.69</v>
      </c>
      <c r="R98" s="416"/>
      <c r="S98" s="416"/>
      <c r="T98" s="416">
        <v>11986.69</v>
      </c>
      <c r="U98" s="411"/>
      <c r="V98" s="411"/>
      <c r="W98" s="417"/>
    </row>
    <row r="99" spans="1:23" s="418" customFormat="1" ht="24.75" customHeight="1">
      <c r="A99" s="152">
        <v>7</v>
      </c>
      <c r="B99" s="66" t="s">
        <v>332</v>
      </c>
      <c r="C99" s="414">
        <f t="shared" si="20"/>
        <v>0</v>
      </c>
      <c r="D99" s="414"/>
      <c r="E99" s="414"/>
      <c r="F99" s="414"/>
      <c r="G99" s="414"/>
      <c r="H99" s="415"/>
      <c r="I99" s="398">
        <f t="shared" si="22"/>
        <v>135814.42371600002</v>
      </c>
      <c r="J99" s="415">
        <v>127519.340716</v>
      </c>
      <c r="K99" s="415"/>
      <c r="L99" s="415"/>
      <c r="M99" s="415"/>
      <c r="N99" s="398">
        <f t="shared" si="23"/>
        <v>0</v>
      </c>
      <c r="O99" s="415"/>
      <c r="P99" s="415"/>
      <c r="Q99" s="398">
        <f t="shared" si="12"/>
        <v>8295.083</v>
      </c>
      <c r="R99" s="416"/>
      <c r="S99" s="416"/>
      <c r="T99" s="416">
        <v>8295.083</v>
      </c>
      <c r="U99" s="411"/>
      <c r="V99" s="411"/>
      <c r="W99" s="417"/>
    </row>
    <row r="100" spans="1:23" s="418" customFormat="1" ht="24.75" customHeight="1">
      <c r="A100" s="152">
        <v>8</v>
      </c>
      <c r="B100" s="66" t="s">
        <v>485</v>
      </c>
      <c r="C100" s="414">
        <f t="shared" si="20"/>
        <v>0</v>
      </c>
      <c r="D100" s="414"/>
      <c r="E100" s="414"/>
      <c r="F100" s="414"/>
      <c r="G100" s="414"/>
      <c r="H100" s="415"/>
      <c r="I100" s="398">
        <f t="shared" si="22"/>
        <v>202582.69391900004</v>
      </c>
      <c r="J100" s="415">
        <v>187365.66391900004</v>
      </c>
      <c r="K100" s="415"/>
      <c r="L100" s="415"/>
      <c r="M100" s="415"/>
      <c r="N100" s="398">
        <f t="shared" si="23"/>
        <v>0</v>
      </c>
      <c r="O100" s="415"/>
      <c r="P100" s="415"/>
      <c r="Q100" s="398">
        <f t="shared" si="12"/>
        <v>15217.029999999999</v>
      </c>
      <c r="R100" s="416"/>
      <c r="S100" s="416"/>
      <c r="T100" s="416">
        <f>1160.81+14056.22</f>
        <v>15217.029999999999</v>
      </c>
      <c r="U100" s="411"/>
      <c r="V100" s="411"/>
      <c r="W100" s="417"/>
    </row>
    <row r="101" spans="1:23" s="418" customFormat="1" ht="24.75" customHeight="1">
      <c r="A101" s="152">
        <v>9</v>
      </c>
      <c r="B101" s="66" t="s">
        <v>334</v>
      </c>
      <c r="C101" s="414">
        <f t="shared" si="20"/>
        <v>0</v>
      </c>
      <c r="D101" s="414"/>
      <c r="E101" s="414"/>
      <c r="F101" s="414"/>
      <c r="G101" s="414"/>
      <c r="H101" s="415"/>
      <c r="I101" s="398">
        <f t="shared" si="22"/>
        <v>34795.164034</v>
      </c>
      <c r="J101" s="415">
        <v>34795.164034</v>
      </c>
      <c r="K101" s="415"/>
      <c r="L101" s="415"/>
      <c r="M101" s="415"/>
      <c r="N101" s="398">
        <f t="shared" si="23"/>
        <v>0</v>
      </c>
      <c r="O101" s="415"/>
      <c r="P101" s="415"/>
      <c r="Q101" s="398">
        <f t="shared" si="12"/>
        <v>0</v>
      </c>
      <c r="R101" s="416"/>
      <c r="S101" s="416"/>
      <c r="T101" s="416"/>
      <c r="U101" s="411"/>
      <c r="V101" s="411"/>
      <c r="W101" s="417"/>
    </row>
    <row r="102" spans="1:23" s="418" customFormat="1" ht="24.75" customHeight="1">
      <c r="A102" s="152">
        <v>10</v>
      </c>
      <c r="B102" s="66" t="s">
        <v>335</v>
      </c>
      <c r="C102" s="414">
        <f t="shared" si="20"/>
        <v>0</v>
      </c>
      <c r="D102" s="414"/>
      <c r="E102" s="414"/>
      <c r="F102" s="414"/>
      <c r="G102" s="414"/>
      <c r="H102" s="414"/>
      <c r="I102" s="398">
        <f t="shared" si="22"/>
        <v>52295.727360000004</v>
      </c>
      <c r="J102" s="415">
        <v>28323.47036</v>
      </c>
      <c r="K102" s="415"/>
      <c r="L102" s="415"/>
      <c r="M102" s="415"/>
      <c r="N102" s="398">
        <f t="shared" si="23"/>
        <v>0</v>
      </c>
      <c r="O102" s="415"/>
      <c r="P102" s="415"/>
      <c r="Q102" s="398">
        <f t="shared" si="12"/>
        <v>23972.257</v>
      </c>
      <c r="R102" s="416"/>
      <c r="S102" s="416"/>
      <c r="T102" s="416">
        <v>23972.257</v>
      </c>
      <c r="U102" s="411"/>
      <c r="V102" s="411"/>
      <c r="W102" s="417"/>
    </row>
    <row r="103" spans="1:23" s="436" customFormat="1" ht="24.75" customHeight="1">
      <c r="A103" s="329"/>
      <c r="B103" s="431"/>
      <c r="C103" s="432"/>
      <c r="D103" s="433"/>
      <c r="E103" s="433"/>
      <c r="F103" s="433"/>
      <c r="G103" s="433"/>
      <c r="H103" s="433"/>
      <c r="I103" s="434"/>
      <c r="J103" s="434"/>
      <c r="K103" s="434"/>
      <c r="L103" s="434"/>
      <c r="M103" s="434"/>
      <c r="N103" s="434"/>
      <c r="O103" s="434"/>
      <c r="P103" s="434"/>
      <c r="Q103" s="434"/>
      <c r="R103" s="432"/>
      <c r="S103" s="432"/>
      <c r="T103" s="432"/>
      <c r="U103" s="435"/>
      <c r="V103" s="435"/>
      <c r="W103" s="435"/>
    </row>
  </sheetData>
  <sheetProtection/>
  <mergeCells count="28">
    <mergeCell ref="T6:T7"/>
    <mergeCell ref="I5:Q5"/>
    <mergeCell ref="J6:J7"/>
    <mergeCell ref="N6:P6"/>
    <mergeCell ref="I6:I7"/>
    <mergeCell ref="L6:L7"/>
    <mergeCell ref="R6:R7"/>
    <mergeCell ref="S6:S7"/>
    <mergeCell ref="P1:W1"/>
    <mergeCell ref="A2:W2"/>
    <mergeCell ref="M6:M7"/>
    <mergeCell ref="F6:F7"/>
    <mergeCell ref="G6:G7"/>
    <mergeCell ref="C5:H5"/>
    <mergeCell ref="A5:A7"/>
    <mergeCell ref="B5:B7"/>
    <mergeCell ref="C6:C7"/>
    <mergeCell ref="U5:W5"/>
    <mergeCell ref="A3:W3"/>
    <mergeCell ref="V4:W4"/>
    <mergeCell ref="E6:E7"/>
    <mergeCell ref="K6:K7"/>
    <mergeCell ref="Q6:Q7"/>
    <mergeCell ref="D6:D7"/>
    <mergeCell ref="H6:H7"/>
    <mergeCell ref="U6:U7"/>
    <mergeCell ref="V6:V7"/>
    <mergeCell ref="W6:W7"/>
  </mergeCells>
  <printOptions horizontalCentered="1"/>
  <pageMargins left="0" right="0" top="0.5118110236220472" bottom="0" header="0.31496062992125984" footer="0.31496062992125984"/>
  <pageSetup horizontalDpi="300" verticalDpi="300" orientation="landscape" paperSize="9" scale="60" r:id="rId3"/>
  <legacyDrawing r:id="rId2"/>
</worksheet>
</file>

<file path=xl/worksheets/sheet15.xml><?xml version="1.0" encoding="utf-8"?>
<worksheet xmlns="http://schemas.openxmlformats.org/spreadsheetml/2006/main" xmlns:r="http://schemas.openxmlformats.org/officeDocument/2006/relationships">
  <dimension ref="A1:X73"/>
  <sheetViews>
    <sheetView zoomScale="85" zoomScaleNormal="85" zoomScalePageLayoutView="0" workbookViewId="0" topLeftCell="A1">
      <pane xSplit="2" ySplit="8" topLeftCell="I9" activePane="bottomRight" state="frozen"/>
      <selection pane="topLeft" activeCell="A1" sqref="A1"/>
      <selection pane="topRight" activeCell="C1" sqref="C1"/>
      <selection pane="bottomLeft" activeCell="A9" sqref="A9"/>
      <selection pane="bottomRight" activeCell="J9" sqref="J9"/>
    </sheetView>
  </sheetViews>
  <sheetFormatPr defaultColWidth="9.125" defaultRowHeight="14.25"/>
  <cols>
    <col min="1" max="1" width="5.625" style="250" customWidth="1"/>
    <col min="2" max="2" width="28.75390625" style="445" customWidth="1"/>
    <col min="3" max="3" width="11.375" style="246" customWidth="1"/>
    <col min="4" max="4" width="12.50390625" style="274" customWidth="1"/>
    <col min="5" max="5" width="10.875" style="250" customWidth="1"/>
    <col min="6" max="6" width="9.375" style="250" customWidth="1"/>
    <col min="7" max="7" width="9.25390625" style="250" customWidth="1"/>
    <col min="8" max="8" width="10.75390625" style="250" customWidth="1"/>
    <col min="9" max="9" width="9.625" style="250" customWidth="1"/>
    <col min="10" max="10" width="10.625" style="250" customWidth="1"/>
    <col min="11" max="11" width="9.625" style="250" customWidth="1"/>
    <col min="12" max="12" width="7.75390625" style="250" customWidth="1"/>
    <col min="13" max="13" width="9.25390625" style="250" customWidth="1"/>
    <col min="14" max="14" width="11.125" style="250" customWidth="1"/>
    <col min="15" max="15" width="10.75390625" style="250" customWidth="1"/>
    <col min="16" max="16" width="10.625" style="250" customWidth="1"/>
    <col min="17" max="17" width="12.25390625" style="250" customWidth="1"/>
    <col min="18" max="18" width="9.50390625" style="250" customWidth="1"/>
    <col min="19" max="19" width="8.50390625" style="250" customWidth="1"/>
    <col min="20" max="20" width="8.00390625" style="250" hidden="1" customWidth="1"/>
    <col min="21" max="21" width="8.25390625" style="250" customWidth="1"/>
    <col min="22" max="22" width="14.125" style="250" customWidth="1"/>
    <col min="23" max="23" width="9.125" style="250" customWidth="1"/>
    <col min="24" max="24" width="14.125" style="250" bestFit="1" customWidth="1"/>
    <col min="25" max="16384" width="9.125" style="250" customWidth="1"/>
  </cols>
  <sheetData>
    <row r="1" spans="1:21" ht="15">
      <c r="A1" s="245"/>
      <c r="B1" s="246"/>
      <c r="C1" s="247"/>
      <c r="D1" s="437"/>
      <c r="E1" s="248"/>
      <c r="F1" s="248"/>
      <c r="G1" s="248"/>
      <c r="H1" s="248"/>
      <c r="I1" s="248"/>
      <c r="J1" s="248"/>
      <c r="K1" s="248"/>
      <c r="L1" s="248"/>
      <c r="M1" s="248"/>
      <c r="N1" s="248"/>
      <c r="O1" s="248"/>
      <c r="P1" s="248"/>
      <c r="Q1" s="248"/>
      <c r="R1" s="248"/>
      <c r="S1" s="248"/>
      <c r="T1" s="248"/>
      <c r="U1" s="249" t="s">
        <v>14</v>
      </c>
    </row>
    <row r="2" spans="1:21" ht="18.75">
      <c r="A2" s="638" t="s">
        <v>636</v>
      </c>
      <c r="B2" s="638"/>
      <c r="C2" s="638"/>
      <c r="D2" s="638"/>
      <c r="E2" s="638"/>
      <c r="F2" s="638"/>
      <c r="G2" s="638"/>
      <c r="H2" s="638"/>
      <c r="I2" s="638"/>
      <c r="J2" s="638"/>
      <c r="K2" s="638"/>
      <c r="L2" s="638"/>
      <c r="M2" s="638"/>
      <c r="N2" s="638"/>
      <c r="O2" s="638"/>
      <c r="P2" s="638"/>
      <c r="Q2" s="638"/>
      <c r="R2" s="638"/>
      <c r="S2" s="638"/>
      <c r="T2" s="638"/>
      <c r="U2" s="638"/>
    </row>
    <row r="3" spans="1:23" ht="18.75">
      <c r="A3" s="597" t="s">
        <v>680</v>
      </c>
      <c r="B3" s="597"/>
      <c r="C3" s="597"/>
      <c r="D3" s="597"/>
      <c r="E3" s="597"/>
      <c r="F3" s="597"/>
      <c r="G3" s="597"/>
      <c r="H3" s="597"/>
      <c r="I3" s="597"/>
      <c r="J3" s="597"/>
      <c r="K3" s="597"/>
      <c r="L3" s="597"/>
      <c r="M3" s="597"/>
      <c r="N3" s="597"/>
      <c r="O3" s="597"/>
      <c r="P3" s="597"/>
      <c r="Q3" s="597"/>
      <c r="R3" s="597"/>
      <c r="S3" s="597"/>
      <c r="T3" s="597"/>
      <c r="U3" s="597"/>
      <c r="V3" s="559"/>
      <c r="W3" s="559"/>
    </row>
    <row r="4" spans="1:21" ht="18.75">
      <c r="A4" s="293"/>
      <c r="B4" s="293"/>
      <c r="C4" s="269"/>
      <c r="D4" s="251"/>
      <c r="E4" s="293"/>
      <c r="F4" s="293"/>
      <c r="G4" s="293"/>
      <c r="H4" s="293"/>
      <c r="I4" s="293"/>
      <c r="J4" s="293"/>
      <c r="K4" s="293"/>
      <c r="L4" s="293"/>
      <c r="M4" s="293"/>
      <c r="N4" s="293"/>
      <c r="O4" s="293"/>
      <c r="P4" s="293"/>
      <c r="Q4" s="293"/>
      <c r="R4" s="682" t="s">
        <v>269</v>
      </c>
      <c r="S4" s="682"/>
      <c r="T4" s="682"/>
      <c r="U4" s="682"/>
    </row>
    <row r="5" spans="1:21" s="252" customFormat="1" ht="24" customHeight="1">
      <c r="A5" s="666" t="s">
        <v>43</v>
      </c>
      <c r="B5" s="666" t="s">
        <v>257</v>
      </c>
      <c r="C5" s="666" t="s">
        <v>417</v>
      </c>
      <c r="D5" s="686" t="s">
        <v>258</v>
      </c>
      <c r="E5" s="684" t="s">
        <v>72</v>
      </c>
      <c r="F5" s="684"/>
      <c r="G5" s="684"/>
      <c r="H5" s="684"/>
      <c r="I5" s="684"/>
      <c r="J5" s="684"/>
      <c r="K5" s="684"/>
      <c r="L5" s="684"/>
      <c r="M5" s="684"/>
      <c r="N5" s="684"/>
      <c r="O5" s="684"/>
      <c r="P5" s="684"/>
      <c r="Q5" s="684"/>
      <c r="R5" s="684"/>
      <c r="S5" s="684"/>
      <c r="T5" s="684"/>
      <c r="U5" s="675" t="s">
        <v>563</v>
      </c>
    </row>
    <row r="6" spans="1:21" s="252" customFormat="1" ht="80.25" customHeight="1" hidden="1">
      <c r="A6" s="685"/>
      <c r="B6" s="685"/>
      <c r="C6" s="685"/>
      <c r="D6" s="687"/>
      <c r="E6" s="680"/>
      <c r="F6" s="680"/>
      <c r="G6" s="680"/>
      <c r="H6" s="680"/>
      <c r="I6" s="680"/>
      <c r="J6" s="680"/>
      <c r="K6" s="680"/>
      <c r="L6" s="680"/>
      <c r="M6" s="680"/>
      <c r="N6" s="680"/>
      <c r="O6" s="680"/>
      <c r="P6" s="680"/>
      <c r="Q6" s="680"/>
      <c r="R6" s="680"/>
      <c r="S6" s="680"/>
      <c r="T6" s="681"/>
      <c r="U6" s="676"/>
    </row>
    <row r="7" spans="1:21" s="253" customFormat="1" ht="16.5" customHeight="1">
      <c r="A7" s="685"/>
      <c r="B7" s="685"/>
      <c r="C7" s="685"/>
      <c r="D7" s="687"/>
      <c r="E7" s="677" t="s">
        <v>572</v>
      </c>
      <c r="F7" s="677" t="s">
        <v>573</v>
      </c>
      <c r="G7" s="677" t="s">
        <v>300</v>
      </c>
      <c r="H7" s="677" t="s">
        <v>301</v>
      </c>
      <c r="I7" s="677" t="s">
        <v>302</v>
      </c>
      <c r="J7" s="677" t="s">
        <v>303</v>
      </c>
      <c r="K7" s="677" t="s">
        <v>304</v>
      </c>
      <c r="L7" s="677" t="s">
        <v>305</v>
      </c>
      <c r="M7" s="677" t="s">
        <v>306</v>
      </c>
      <c r="N7" s="677" t="s">
        <v>307</v>
      </c>
      <c r="O7" s="677" t="s">
        <v>72</v>
      </c>
      <c r="P7" s="677"/>
      <c r="Q7" s="677" t="s">
        <v>308</v>
      </c>
      <c r="R7" s="677" t="s">
        <v>309</v>
      </c>
      <c r="S7" s="679" t="s">
        <v>179</v>
      </c>
      <c r="T7" s="683" t="s">
        <v>310</v>
      </c>
      <c r="U7" s="676"/>
    </row>
    <row r="8" spans="1:21" s="253" customFormat="1" ht="60" customHeight="1">
      <c r="A8" s="685"/>
      <c r="B8" s="685"/>
      <c r="C8" s="667"/>
      <c r="D8" s="687"/>
      <c r="E8" s="678"/>
      <c r="F8" s="678"/>
      <c r="G8" s="678"/>
      <c r="H8" s="678"/>
      <c r="I8" s="678"/>
      <c r="J8" s="678"/>
      <c r="K8" s="678"/>
      <c r="L8" s="678"/>
      <c r="M8" s="678"/>
      <c r="N8" s="678"/>
      <c r="O8" s="292" t="s">
        <v>312</v>
      </c>
      <c r="P8" s="292" t="s">
        <v>313</v>
      </c>
      <c r="Q8" s="678"/>
      <c r="R8" s="678"/>
      <c r="S8" s="677"/>
      <c r="T8" s="678"/>
      <c r="U8" s="676"/>
    </row>
    <row r="9" spans="1:21" s="259" customFormat="1" ht="24.75" customHeight="1">
      <c r="A9" s="254"/>
      <c r="B9" s="254" t="s">
        <v>259</v>
      </c>
      <c r="C9" s="255">
        <f aca="true" t="shared" si="0" ref="C9:T9">SUM(C10,C59)</f>
        <v>1343885</v>
      </c>
      <c r="D9" s="257">
        <f>SUM(D10,D59)</f>
        <v>1951447.424898999</v>
      </c>
      <c r="E9" s="257">
        <f t="shared" si="0"/>
        <v>504350.56031699997</v>
      </c>
      <c r="F9" s="257">
        <f t="shared" si="0"/>
        <v>10620.446316</v>
      </c>
      <c r="G9" s="257">
        <f t="shared" si="0"/>
        <v>67286.096</v>
      </c>
      <c r="H9" s="257">
        <f t="shared" si="0"/>
        <v>14929.515962</v>
      </c>
      <c r="I9" s="257">
        <f>SUM(I10,I59)</f>
        <v>653526.3573449999</v>
      </c>
      <c r="J9" s="257">
        <f t="shared" si="0"/>
        <v>49306.8604</v>
      </c>
      <c r="K9" s="257">
        <f t="shared" si="0"/>
        <v>25768</v>
      </c>
      <c r="L9" s="257">
        <f t="shared" si="0"/>
        <v>6399</v>
      </c>
      <c r="M9" s="257">
        <f t="shared" si="0"/>
        <v>19541.007138999998</v>
      </c>
      <c r="N9" s="257">
        <f t="shared" si="0"/>
        <v>181444.22764399997</v>
      </c>
      <c r="O9" s="257">
        <f t="shared" si="0"/>
        <v>32130.294735</v>
      </c>
      <c r="P9" s="257">
        <f t="shared" si="0"/>
        <v>65085.423871</v>
      </c>
      <c r="Q9" s="257">
        <f t="shared" si="0"/>
        <v>370696.208055</v>
      </c>
      <c r="R9" s="257">
        <f t="shared" si="0"/>
        <v>42737.240044000006</v>
      </c>
      <c r="S9" s="257">
        <f t="shared" si="0"/>
        <v>4841.905677000001</v>
      </c>
      <c r="T9" s="257">
        <f t="shared" si="0"/>
        <v>0</v>
      </c>
      <c r="U9" s="258">
        <f>D9/C9</f>
        <v>1.4520940593123661</v>
      </c>
    </row>
    <row r="10" spans="1:21" s="259" customFormat="1" ht="24.75" customHeight="1">
      <c r="A10" s="260">
        <v>1</v>
      </c>
      <c r="B10" s="261" t="s">
        <v>414</v>
      </c>
      <c r="C10" s="262">
        <f>SUM(C11:C58)</f>
        <v>1332664</v>
      </c>
      <c r="D10" s="264">
        <f aca="true" t="shared" si="1" ref="D10:T10">SUM(D11:D58)</f>
        <v>1936366.276541999</v>
      </c>
      <c r="E10" s="264">
        <f>SUM(E11:E58)</f>
        <v>504350.56031699997</v>
      </c>
      <c r="F10" s="264">
        <f t="shared" si="1"/>
        <v>10620.446316</v>
      </c>
      <c r="G10" s="264">
        <f t="shared" si="1"/>
        <v>67286.096</v>
      </c>
      <c r="H10" s="264">
        <f t="shared" si="1"/>
        <v>14929.515962</v>
      </c>
      <c r="I10" s="264">
        <f>SUM(I11:I58)</f>
        <v>653526.3573449999</v>
      </c>
      <c r="J10" s="264">
        <f t="shared" si="1"/>
        <v>48726.8604</v>
      </c>
      <c r="K10" s="264">
        <f t="shared" si="1"/>
        <v>25768</v>
      </c>
      <c r="L10" s="264">
        <f t="shared" si="1"/>
        <v>6399</v>
      </c>
      <c r="M10" s="264">
        <f t="shared" si="1"/>
        <v>19541.007138999998</v>
      </c>
      <c r="N10" s="264">
        <f t="shared" si="1"/>
        <v>181444.22764399997</v>
      </c>
      <c r="O10" s="264">
        <f t="shared" si="1"/>
        <v>32130.294735</v>
      </c>
      <c r="P10" s="264">
        <f t="shared" si="1"/>
        <v>65085.423871</v>
      </c>
      <c r="Q10" s="264">
        <f t="shared" si="1"/>
        <v>356195.05969799997</v>
      </c>
      <c r="R10" s="264">
        <f t="shared" si="1"/>
        <v>42737.240044000006</v>
      </c>
      <c r="S10" s="264">
        <f t="shared" si="1"/>
        <v>4841.905677000001</v>
      </c>
      <c r="T10" s="264">
        <f t="shared" si="1"/>
        <v>0</v>
      </c>
      <c r="U10" s="265">
        <f>D10/C10</f>
        <v>1.4530041154724664</v>
      </c>
    </row>
    <row r="11" spans="1:22" ht="27.75" customHeight="1">
      <c r="A11" s="266">
        <v>1</v>
      </c>
      <c r="B11" s="267" t="s">
        <v>190</v>
      </c>
      <c r="C11" s="410">
        <v>71760</v>
      </c>
      <c r="D11" s="272">
        <f aca="true" t="shared" si="2" ref="D11:D58">SUM(E11:N11,Q11,R11:T11)</f>
        <v>80878.397467</v>
      </c>
      <c r="E11" s="272"/>
      <c r="F11" s="272"/>
      <c r="G11" s="272"/>
      <c r="H11" s="272"/>
      <c r="I11" s="272">
        <v>1675</v>
      </c>
      <c r="J11" s="272"/>
      <c r="K11" s="272">
        <v>150</v>
      </c>
      <c r="L11" s="272"/>
      <c r="M11" s="272"/>
      <c r="N11" s="272"/>
      <c r="O11" s="272"/>
      <c r="P11" s="272"/>
      <c r="Q11" s="272">
        <f>74261.397467+1292+3500</f>
        <v>79053.397467</v>
      </c>
      <c r="R11" s="272"/>
      <c r="S11" s="272"/>
      <c r="T11" s="272"/>
      <c r="U11" s="268">
        <f aca="true" t="shared" si="3" ref="U11:U52">D11/C11</f>
        <v>1.1270679691610925</v>
      </c>
      <c r="V11" s="275"/>
    </row>
    <row r="12" spans="1:22" ht="24.75" customHeight="1">
      <c r="A12" s="266">
        <v>2</v>
      </c>
      <c r="B12" s="286" t="s">
        <v>454</v>
      </c>
      <c r="C12" s="410">
        <v>26538</v>
      </c>
      <c r="D12" s="272">
        <f t="shared" si="2"/>
        <v>27126.103591</v>
      </c>
      <c r="E12" s="272"/>
      <c r="F12" s="272"/>
      <c r="G12" s="272"/>
      <c r="H12" s="272"/>
      <c r="I12" s="272"/>
      <c r="J12" s="272"/>
      <c r="K12" s="272"/>
      <c r="L12" s="272"/>
      <c r="M12" s="272"/>
      <c r="N12" s="272">
        <f>2560.434391+21</f>
        <v>2581.434391</v>
      </c>
      <c r="O12" s="272"/>
      <c r="P12" s="272"/>
      <c r="Q12" s="272">
        <f>22172.7522+175+2196.917</f>
        <v>24544.6692</v>
      </c>
      <c r="R12" s="272"/>
      <c r="S12" s="272"/>
      <c r="T12" s="272"/>
      <c r="U12" s="268">
        <f t="shared" si="3"/>
        <v>1.0221608105735172</v>
      </c>
      <c r="V12" s="275"/>
    </row>
    <row r="13" spans="1:22" ht="24.75" customHeight="1">
      <c r="A13" s="266">
        <v>3</v>
      </c>
      <c r="B13" s="286" t="s">
        <v>455</v>
      </c>
      <c r="C13" s="410"/>
      <c r="D13" s="272">
        <f t="shared" si="2"/>
        <v>400</v>
      </c>
      <c r="E13" s="272"/>
      <c r="F13" s="272"/>
      <c r="G13" s="272"/>
      <c r="H13" s="272"/>
      <c r="I13" s="272"/>
      <c r="J13" s="272"/>
      <c r="K13" s="272"/>
      <c r="L13" s="272"/>
      <c r="M13" s="272"/>
      <c r="N13" s="272"/>
      <c r="O13" s="272"/>
      <c r="P13" s="272"/>
      <c r="Q13" s="272"/>
      <c r="R13" s="272"/>
      <c r="S13" s="272">
        <v>400</v>
      </c>
      <c r="T13" s="272"/>
      <c r="U13" s="268"/>
      <c r="V13" s="275"/>
    </row>
    <row r="14" spans="1:22" ht="25.5" customHeight="1">
      <c r="A14" s="266">
        <v>4</v>
      </c>
      <c r="B14" s="286" t="s">
        <v>87</v>
      </c>
      <c r="C14" s="410">
        <v>13000</v>
      </c>
      <c r="D14" s="272">
        <f t="shared" si="2"/>
        <v>12940.106405</v>
      </c>
      <c r="E14" s="272"/>
      <c r="F14" s="272"/>
      <c r="G14" s="272"/>
      <c r="H14" s="272"/>
      <c r="I14" s="272"/>
      <c r="J14" s="272"/>
      <c r="K14" s="272"/>
      <c r="L14" s="272"/>
      <c r="M14" s="272"/>
      <c r="N14" s="272"/>
      <c r="O14" s="272"/>
      <c r="P14" s="272"/>
      <c r="Q14" s="272">
        <f>12816.106405+124</f>
        <v>12940.106405</v>
      </c>
      <c r="R14" s="272"/>
      <c r="S14" s="272"/>
      <c r="T14" s="272"/>
      <c r="U14" s="268">
        <f t="shared" si="3"/>
        <v>0.9953928003846154</v>
      </c>
      <c r="V14" s="275"/>
    </row>
    <row r="15" spans="1:22" ht="24.75" customHeight="1">
      <c r="A15" s="266">
        <v>5</v>
      </c>
      <c r="B15" s="286" t="s">
        <v>415</v>
      </c>
      <c r="C15" s="410">
        <v>54191</v>
      </c>
      <c r="D15" s="272">
        <f>SUM(E15:N15,Q15,R15:T15)</f>
        <v>67011.7376</v>
      </c>
      <c r="E15" s="272"/>
      <c r="F15" s="272"/>
      <c r="G15" s="272"/>
      <c r="H15" s="272"/>
      <c r="I15" s="272"/>
      <c r="J15" s="272">
        <f>43947.3386+332+720+1800+53.9218</f>
        <v>46853.2604</v>
      </c>
      <c r="K15" s="272"/>
      <c r="L15" s="272">
        <f>6341+58</f>
        <v>6399</v>
      </c>
      <c r="M15" s="272"/>
      <c r="N15" s="272">
        <f>4642.499+17</f>
        <v>4659.499</v>
      </c>
      <c r="O15" s="272"/>
      <c r="P15" s="272"/>
      <c r="Q15" s="272">
        <f>7992.4147+134+973.5635</f>
        <v>9099.9782</v>
      </c>
      <c r="R15" s="272"/>
      <c r="S15" s="272"/>
      <c r="T15" s="272"/>
      <c r="U15" s="268">
        <f t="shared" si="3"/>
        <v>1.2365842593788636</v>
      </c>
      <c r="V15" s="275"/>
    </row>
    <row r="16" spans="1:22" ht="24.75" customHeight="1">
      <c r="A16" s="266">
        <v>6</v>
      </c>
      <c r="B16" s="286" t="s">
        <v>182</v>
      </c>
      <c r="C16" s="410">
        <v>19084</v>
      </c>
      <c r="D16" s="272">
        <f t="shared" si="2"/>
        <v>20715.646301</v>
      </c>
      <c r="E16" s="272"/>
      <c r="F16" s="272"/>
      <c r="G16" s="272"/>
      <c r="H16" s="272"/>
      <c r="I16" s="272"/>
      <c r="J16" s="272"/>
      <c r="K16" s="272"/>
      <c r="L16" s="272"/>
      <c r="M16" s="272"/>
      <c r="N16" s="272">
        <f>5036.587301+30.997</f>
        <v>5067.584301</v>
      </c>
      <c r="O16" s="272"/>
      <c r="P16" s="272"/>
      <c r="Q16" s="272">
        <v>15648.062</v>
      </c>
      <c r="R16" s="272"/>
      <c r="S16" s="272"/>
      <c r="T16" s="272"/>
      <c r="U16" s="268">
        <f t="shared" si="3"/>
        <v>1.0854981293753931</v>
      </c>
      <c r="V16" s="275"/>
    </row>
    <row r="17" spans="1:22" ht="24.75" customHeight="1">
      <c r="A17" s="266">
        <v>7</v>
      </c>
      <c r="B17" s="286" t="s">
        <v>252</v>
      </c>
      <c r="C17" s="410">
        <v>14464</v>
      </c>
      <c r="D17" s="272">
        <f t="shared" si="2"/>
        <v>41990.294189</v>
      </c>
      <c r="E17" s="272"/>
      <c r="F17" s="272"/>
      <c r="G17" s="272"/>
      <c r="H17" s="272"/>
      <c r="I17" s="272"/>
      <c r="J17" s="272"/>
      <c r="K17" s="272"/>
      <c r="L17" s="272"/>
      <c r="M17" s="272"/>
      <c r="N17" s="272">
        <f>14.727735+32115.567</f>
        <v>32130.294735</v>
      </c>
      <c r="O17" s="272">
        <f>14.727735+32115.567</f>
        <v>32130.294735</v>
      </c>
      <c r="P17" s="272"/>
      <c r="Q17" s="272">
        <f>9770.999454+89</f>
        <v>9859.999454</v>
      </c>
      <c r="R17" s="272"/>
      <c r="S17" s="272"/>
      <c r="T17" s="272"/>
      <c r="U17" s="268">
        <f t="shared" si="3"/>
        <v>2.903090029659845</v>
      </c>
      <c r="V17" s="275"/>
    </row>
    <row r="18" spans="1:22" ht="24.75" customHeight="1">
      <c r="A18" s="266">
        <v>8</v>
      </c>
      <c r="B18" s="286" t="s">
        <v>187</v>
      </c>
      <c r="C18" s="410">
        <v>18971</v>
      </c>
      <c r="D18" s="272">
        <f t="shared" si="2"/>
        <v>34185.756709</v>
      </c>
      <c r="E18" s="272">
        <f>9774.18+899.6185</f>
        <v>10673.7985</v>
      </c>
      <c r="F18" s="272"/>
      <c r="G18" s="272"/>
      <c r="H18" s="272"/>
      <c r="I18" s="272"/>
      <c r="J18" s="272"/>
      <c r="K18" s="272"/>
      <c r="L18" s="272"/>
      <c r="M18" s="272"/>
      <c r="N18" s="272">
        <f>990+14+4500</f>
        <v>5504</v>
      </c>
      <c r="O18" s="272"/>
      <c r="P18" s="272"/>
      <c r="Q18" s="272">
        <f>17785.518209+222.44</f>
        <v>18007.958209</v>
      </c>
      <c r="R18" s="272"/>
      <c r="S18" s="272"/>
      <c r="T18" s="272"/>
      <c r="U18" s="268">
        <f t="shared" si="3"/>
        <v>1.8020007753413105</v>
      </c>
      <c r="V18" s="275"/>
    </row>
    <row r="19" spans="1:22" ht="24.75" customHeight="1">
      <c r="A19" s="266">
        <v>9</v>
      </c>
      <c r="B19" s="286" t="s">
        <v>180</v>
      </c>
      <c r="C19" s="410">
        <v>4753</v>
      </c>
      <c r="D19" s="272">
        <f t="shared" si="2"/>
        <v>16086.526326</v>
      </c>
      <c r="E19" s="272"/>
      <c r="F19" s="272"/>
      <c r="G19" s="272"/>
      <c r="H19" s="272"/>
      <c r="I19" s="272"/>
      <c r="J19" s="272"/>
      <c r="K19" s="272"/>
      <c r="L19" s="272"/>
      <c r="M19" s="272"/>
      <c r="N19" s="272">
        <f>801.225268+8690.011958+1083.8111</f>
        <v>10575.048326</v>
      </c>
      <c r="O19" s="272"/>
      <c r="P19" s="272"/>
      <c r="Q19" s="272">
        <f>5451.478+60</f>
        <v>5511.478</v>
      </c>
      <c r="R19" s="272"/>
      <c r="S19" s="272"/>
      <c r="T19" s="272"/>
      <c r="U19" s="268">
        <f t="shared" si="3"/>
        <v>3.3844995426046705</v>
      </c>
      <c r="V19" s="275"/>
    </row>
    <row r="20" spans="1:22" ht="24.75" customHeight="1">
      <c r="A20" s="266">
        <v>10</v>
      </c>
      <c r="B20" s="286" t="s">
        <v>99</v>
      </c>
      <c r="C20" s="410">
        <v>8858</v>
      </c>
      <c r="D20" s="272">
        <f t="shared" si="2"/>
        <v>10514.776784</v>
      </c>
      <c r="E20" s="272"/>
      <c r="F20" s="272"/>
      <c r="G20" s="272"/>
      <c r="H20" s="272"/>
      <c r="I20" s="272"/>
      <c r="J20" s="272"/>
      <c r="K20" s="272"/>
      <c r="L20" s="272"/>
      <c r="M20" s="272"/>
      <c r="N20" s="272">
        <v>865.9332</v>
      </c>
      <c r="O20" s="272"/>
      <c r="P20" s="272"/>
      <c r="Q20" s="272">
        <v>8960.6785</v>
      </c>
      <c r="R20" s="272">
        <v>688.165084</v>
      </c>
      <c r="S20" s="272"/>
      <c r="T20" s="272"/>
      <c r="U20" s="268">
        <f t="shared" si="3"/>
        <v>1.1870373429668095</v>
      </c>
      <c r="V20" s="275"/>
    </row>
    <row r="21" spans="1:22" ht="24.75" customHeight="1">
      <c r="A21" s="266">
        <v>11</v>
      </c>
      <c r="B21" s="286" t="s">
        <v>184</v>
      </c>
      <c r="C21" s="410">
        <v>10454</v>
      </c>
      <c r="D21" s="272">
        <f t="shared" si="2"/>
        <v>9610.791000000001</v>
      </c>
      <c r="E21" s="272"/>
      <c r="F21" s="272"/>
      <c r="G21" s="272"/>
      <c r="H21" s="272"/>
      <c r="I21" s="272"/>
      <c r="J21" s="272"/>
      <c r="K21" s="272"/>
      <c r="L21" s="272"/>
      <c r="M21" s="272"/>
      <c r="N21" s="272">
        <v>4699.791</v>
      </c>
      <c r="O21" s="272"/>
      <c r="P21" s="272"/>
      <c r="Q21" s="272">
        <v>4911</v>
      </c>
      <c r="R21" s="272"/>
      <c r="S21" s="272"/>
      <c r="T21" s="272"/>
      <c r="U21" s="268">
        <f t="shared" si="3"/>
        <v>0.9193410177922328</v>
      </c>
      <c r="V21" s="275"/>
    </row>
    <row r="22" spans="1:22" ht="24.75" customHeight="1">
      <c r="A22" s="266">
        <v>12</v>
      </c>
      <c r="B22" s="286" t="s">
        <v>181</v>
      </c>
      <c r="C22" s="410">
        <v>11660</v>
      </c>
      <c r="D22" s="272">
        <f t="shared" si="2"/>
        <v>11375.2834</v>
      </c>
      <c r="E22" s="272"/>
      <c r="F22" s="272"/>
      <c r="G22" s="272"/>
      <c r="H22" s="272"/>
      <c r="I22" s="272"/>
      <c r="J22" s="272"/>
      <c r="K22" s="272"/>
      <c r="L22" s="272"/>
      <c r="M22" s="272"/>
      <c r="N22" s="272">
        <f>4721+986.2834</f>
        <v>5707.2834</v>
      </c>
      <c r="O22" s="272"/>
      <c r="P22" s="272"/>
      <c r="Q22" s="272">
        <f>5537+81+50</f>
        <v>5668</v>
      </c>
      <c r="R22" s="272"/>
      <c r="S22" s="272"/>
      <c r="T22" s="272"/>
      <c r="U22" s="268">
        <f t="shared" si="3"/>
        <v>0.9755817667238422</v>
      </c>
      <c r="V22" s="275"/>
    </row>
    <row r="23" spans="1:22" ht="24.75" customHeight="1">
      <c r="A23" s="266">
        <v>13</v>
      </c>
      <c r="B23" s="286" t="s">
        <v>183</v>
      </c>
      <c r="C23" s="410">
        <v>17984</v>
      </c>
      <c r="D23" s="272">
        <f t="shared" si="2"/>
        <v>18326.025999999998</v>
      </c>
      <c r="E23" s="272"/>
      <c r="F23" s="272"/>
      <c r="G23" s="272"/>
      <c r="H23" s="272"/>
      <c r="I23" s="272"/>
      <c r="J23" s="272"/>
      <c r="K23" s="272"/>
      <c r="L23" s="272"/>
      <c r="M23" s="272"/>
      <c r="N23" s="272"/>
      <c r="O23" s="272"/>
      <c r="P23" s="272"/>
      <c r="Q23" s="272">
        <f>13199+252+4875.026</f>
        <v>18326.025999999998</v>
      </c>
      <c r="R23" s="272"/>
      <c r="S23" s="272"/>
      <c r="T23" s="272"/>
      <c r="U23" s="268">
        <f t="shared" si="3"/>
        <v>1.019018349644128</v>
      </c>
      <c r="V23" s="275"/>
    </row>
    <row r="24" spans="1:22" ht="24.75" customHeight="1">
      <c r="A24" s="266">
        <v>14</v>
      </c>
      <c r="B24" s="286" t="s">
        <v>186</v>
      </c>
      <c r="C24" s="410">
        <v>10214</v>
      </c>
      <c r="D24" s="272">
        <f t="shared" si="2"/>
        <v>13855.488</v>
      </c>
      <c r="E24" s="272">
        <v>299.888</v>
      </c>
      <c r="F24" s="272"/>
      <c r="G24" s="272"/>
      <c r="H24" s="272"/>
      <c r="I24" s="272"/>
      <c r="J24" s="272">
        <v>135.6</v>
      </c>
      <c r="K24" s="272"/>
      <c r="L24" s="272"/>
      <c r="M24" s="272"/>
      <c r="N24" s="272">
        <v>1896</v>
      </c>
      <c r="O24" s="272"/>
      <c r="P24" s="272"/>
      <c r="Q24" s="272">
        <f>5942+62+20+5500</f>
        <v>11524</v>
      </c>
      <c r="R24" s="272"/>
      <c r="S24" s="272"/>
      <c r="T24" s="272"/>
      <c r="U24" s="268">
        <f t="shared" si="3"/>
        <v>1.3565192872527903</v>
      </c>
      <c r="V24" s="275"/>
    </row>
    <row r="25" spans="1:22" ht="24.75" customHeight="1">
      <c r="A25" s="266">
        <v>15</v>
      </c>
      <c r="B25" s="286" t="s">
        <v>108</v>
      </c>
      <c r="C25" s="410">
        <v>14312</v>
      </c>
      <c r="D25" s="272">
        <f t="shared" si="2"/>
        <v>15496.446316</v>
      </c>
      <c r="E25" s="272"/>
      <c r="F25" s="272">
        <v>10620.446316</v>
      </c>
      <c r="G25" s="272"/>
      <c r="H25" s="272"/>
      <c r="I25" s="272"/>
      <c r="J25" s="272"/>
      <c r="K25" s="272"/>
      <c r="L25" s="272"/>
      <c r="M25" s="272"/>
      <c r="N25" s="272"/>
      <c r="O25" s="272"/>
      <c r="P25" s="272"/>
      <c r="Q25" s="272">
        <f>4593+283</f>
        <v>4876</v>
      </c>
      <c r="R25" s="272"/>
      <c r="S25" s="272"/>
      <c r="T25" s="272"/>
      <c r="U25" s="268">
        <f t="shared" si="3"/>
        <v>1.0827589656232532</v>
      </c>
      <c r="V25" s="275"/>
    </row>
    <row r="26" spans="1:22" ht="24.75" customHeight="1">
      <c r="A26" s="266">
        <v>16</v>
      </c>
      <c r="B26" s="286" t="s">
        <v>109</v>
      </c>
      <c r="C26" s="410">
        <v>21807</v>
      </c>
      <c r="D26" s="272">
        <f>SUM(E26:N26,Q26,R26:T26)</f>
        <v>42646.601991</v>
      </c>
      <c r="E26" s="272"/>
      <c r="F26" s="272"/>
      <c r="G26" s="272"/>
      <c r="H26" s="272"/>
      <c r="I26" s="272"/>
      <c r="J26" s="272"/>
      <c r="K26" s="272"/>
      <c r="L26" s="272"/>
      <c r="M26" s="272">
        <f>3607.411+24+12244.374998</f>
        <v>15875.785998</v>
      </c>
      <c r="N26" s="272">
        <f>11983.724425+7862.166868</f>
        <v>19845.891293</v>
      </c>
      <c r="O26" s="272"/>
      <c r="P26" s="272"/>
      <c r="Q26" s="272">
        <v>6850.9247</v>
      </c>
      <c r="R26" s="272">
        <v>74</v>
      </c>
      <c r="S26" s="272"/>
      <c r="T26" s="272"/>
      <c r="U26" s="268">
        <f t="shared" si="3"/>
        <v>1.9556381891594443</v>
      </c>
      <c r="V26" s="275"/>
    </row>
    <row r="27" spans="1:22" ht="24.75" customHeight="1">
      <c r="A27" s="266">
        <v>17</v>
      </c>
      <c r="B27" s="286" t="s">
        <v>78</v>
      </c>
      <c r="C27" s="410">
        <v>386595</v>
      </c>
      <c r="D27" s="272">
        <f t="shared" si="2"/>
        <v>428223.7918709999</v>
      </c>
      <c r="E27" s="272">
        <f>401894.623621+11773.477094+2999.974293+2418.5718</f>
        <v>419086.64680799993</v>
      </c>
      <c r="F27" s="272"/>
      <c r="G27" s="272"/>
      <c r="H27" s="272"/>
      <c r="I27" s="272"/>
      <c r="J27" s="272"/>
      <c r="K27" s="272"/>
      <c r="L27" s="272"/>
      <c r="M27" s="272">
        <v>197</v>
      </c>
      <c r="N27" s="272">
        <v>21.067</v>
      </c>
      <c r="O27" s="272"/>
      <c r="P27" s="272"/>
      <c r="Q27" s="272">
        <f>8720.393819+198.684244</f>
        <v>8919.078063</v>
      </c>
      <c r="R27" s="272"/>
      <c r="S27" s="272"/>
      <c r="T27" s="272"/>
      <c r="U27" s="268">
        <f t="shared" si="3"/>
        <v>1.1076806266790826</v>
      </c>
      <c r="V27" s="275"/>
    </row>
    <row r="28" spans="1:22" ht="24.75" customHeight="1">
      <c r="A28" s="266">
        <v>18</v>
      </c>
      <c r="B28" s="286" t="s">
        <v>79</v>
      </c>
      <c r="C28" s="410">
        <v>99488</v>
      </c>
      <c r="D28" s="272">
        <f t="shared" si="2"/>
        <v>117287.866631</v>
      </c>
      <c r="E28" s="272">
        <v>516.261</v>
      </c>
      <c r="F28" s="272"/>
      <c r="G28" s="272"/>
      <c r="H28" s="272"/>
      <c r="I28" s="272"/>
      <c r="J28" s="272">
        <v>50</v>
      </c>
      <c r="K28" s="272">
        <v>120</v>
      </c>
      <c r="L28" s="272"/>
      <c r="M28" s="272">
        <f>2398.246191+102.15135+24</f>
        <v>2524.3975410000003</v>
      </c>
      <c r="N28" s="272">
        <f>53391.877834+30+44+3.408+4399.432746</f>
        <v>57868.71858</v>
      </c>
      <c r="O28" s="272"/>
      <c r="P28" s="272">
        <v>47870.423871</v>
      </c>
      <c r="Q28" s="272">
        <f>52795.381827+1196.39894+661.3317+101</f>
        <v>54754.112467</v>
      </c>
      <c r="R28" s="272">
        <f>1315.377043+139</f>
        <v>1454.377043</v>
      </c>
      <c r="S28" s="272"/>
      <c r="T28" s="272"/>
      <c r="U28" s="268">
        <f t="shared" si="3"/>
        <v>1.178914709623271</v>
      </c>
      <c r="V28" s="275"/>
    </row>
    <row r="29" spans="1:24" ht="24.75" customHeight="1">
      <c r="A29" s="266">
        <v>19</v>
      </c>
      <c r="B29" s="286" t="s">
        <v>416</v>
      </c>
      <c r="C29" s="410">
        <v>28778</v>
      </c>
      <c r="D29" s="272">
        <f t="shared" si="2"/>
        <v>38661.09940000001</v>
      </c>
      <c r="E29" s="272">
        <f>1008+35+182.87</f>
        <v>1225.87</v>
      </c>
      <c r="F29" s="272"/>
      <c r="G29" s="272"/>
      <c r="H29" s="272"/>
      <c r="I29" s="272"/>
      <c r="J29" s="272"/>
      <c r="K29" s="272"/>
      <c r="L29" s="272"/>
      <c r="M29" s="272"/>
      <c r="N29" s="272">
        <v>1118</v>
      </c>
      <c r="O29" s="272"/>
      <c r="P29" s="272"/>
      <c r="Q29" s="272">
        <f>8680.803+176+372+87.1</f>
        <v>9315.903</v>
      </c>
      <c r="R29" s="272">
        <f>23829.3961+92.485+263+514.5213+2301.924</f>
        <v>27001.3264</v>
      </c>
      <c r="S29" s="272"/>
      <c r="T29" s="272"/>
      <c r="U29" s="268">
        <f t="shared" si="3"/>
        <v>1.3434255125443049</v>
      </c>
      <c r="V29" s="275"/>
      <c r="X29" s="246"/>
    </row>
    <row r="30" spans="1:22" ht="24.75" customHeight="1">
      <c r="A30" s="266">
        <v>20</v>
      </c>
      <c r="B30" s="286" t="s">
        <v>185</v>
      </c>
      <c r="C30" s="410">
        <v>316217</v>
      </c>
      <c r="D30" s="272">
        <f t="shared" si="2"/>
        <v>375253.9145369999</v>
      </c>
      <c r="E30" s="272">
        <f>10756.743968+173+1010.137</f>
        <v>11939.880968000001</v>
      </c>
      <c r="F30" s="272"/>
      <c r="G30" s="272"/>
      <c r="H30" s="272"/>
      <c r="I30" s="272">
        <f>333193.058025+5543.8845+1085.14582+150+933.839</f>
        <v>340905.9273449999</v>
      </c>
      <c r="J30" s="272"/>
      <c r="K30" s="272"/>
      <c r="L30" s="272"/>
      <c r="M30" s="272">
        <v>794.8236</v>
      </c>
      <c r="N30" s="272"/>
      <c r="O30" s="272"/>
      <c r="P30" s="272"/>
      <c r="Q30" s="272">
        <f>9435.343107+1799.998</f>
        <v>11235.341107</v>
      </c>
      <c r="R30" s="272">
        <f>9837.941517+540</f>
        <v>10377.941517</v>
      </c>
      <c r="S30" s="272"/>
      <c r="T30" s="272"/>
      <c r="U30" s="268">
        <f t="shared" si="3"/>
        <v>1.1866974721061798</v>
      </c>
      <c r="V30" s="275"/>
    </row>
    <row r="31" spans="1:22" ht="24.75" customHeight="1">
      <c r="A31" s="266">
        <v>21</v>
      </c>
      <c r="B31" s="286" t="s">
        <v>89</v>
      </c>
      <c r="C31" s="410">
        <v>23566</v>
      </c>
      <c r="D31" s="272">
        <f t="shared" si="2"/>
        <v>25498</v>
      </c>
      <c r="E31" s="272"/>
      <c r="F31" s="272"/>
      <c r="G31" s="272"/>
      <c r="H31" s="272"/>
      <c r="I31" s="272"/>
      <c r="J31" s="272"/>
      <c r="K31" s="272">
        <f>25343+155</f>
        <v>25498</v>
      </c>
      <c r="L31" s="272"/>
      <c r="M31" s="272"/>
      <c r="N31" s="272"/>
      <c r="O31" s="272"/>
      <c r="P31" s="272"/>
      <c r="Q31" s="272"/>
      <c r="R31" s="272"/>
      <c r="S31" s="272"/>
      <c r="T31" s="272"/>
      <c r="U31" s="268">
        <f t="shared" si="3"/>
        <v>1.0819825171857762</v>
      </c>
      <c r="V31" s="275"/>
    </row>
    <row r="32" spans="1:22" ht="24.75" customHeight="1">
      <c r="A32" s="266">
        <v>22</v>
      </c>
      <c r="B32" s="286" t="s">
        <v>76</v>
      </c>
      <c r="C32" s="410">
        <v>6430</v>
      </c>
      <c r="D32" s="272">
        <f t="shared" si="2"/>
        <v>6955.6566</v>
      </c>
      <c r="E32" s="272">
        <v>695.6586</v>
      </c>
      <c r="F32" s="272"/>
      <c r="G32" s="272"/>
      <c r="H32" s="272"/>
      <c r="I32" s="272">
        <v>32</v>
      </c>
      <c r="J32" s="272">
        <v>240</v>
      </c>
      <c r="K32" s="272"/>
      <c r="L32" s="272"/>
      <c r="M32" s="272"/>
      <c r="N32" s="272">
        <v>324.518</v>
      </c>
      <c r="O32" s="272"/>
      <c r="P32" s="272"/>
      <c r="Q32" s="272">
        <f>3794+78+150+30</f>
        <v>4052</v>
      </c>
      <c r="R32" s="272">
        <f>1335+276.48</f>
        <v>1611.48</v>
      </c>
      <c r="S32" s="272"/>
      <c r="T32" s="272"/>
      <c r="U32" s="268">
        <f t="shared" si="3"/>
        <v>1.0817506376360808</v>
      </c>
      <c r="V32" s="275"/>
    </row>
    <row r="33" spans="1:22" ht="24.75" customHeight="1">
      <c r="A33" s="266">
        <v>23</v>
      </c>
      <c r="B33" s="286" t="s">
        <v>188</v>
      </c>
      <c r="C33" s="410">
        <v>6809</v>
      </c>
      <c r="D33" s="272">
        <f t="shared" si="2"/>
        <v>6259.521</v>
      </c>
      <c r="E33" s="272"/>
      <c r="F33" s="272"/>
      <c r="G33" s="272"/>
      <c r="H33" s="272"/>
      <c r="I33" s="272"/>
      <c r="J33" s="272"/>
      <c r="K33" s="272"/>
      <c r="L33" s="272"/>
      <c r="M33" s="272"/>
      <c r="N33" s="272"/>
      <c r="O33" s="272"/>
      <c r="P33" s="272"/>
      <c r="Q33" s="272">
        <f>6072+160+27.521</f>
        <v>6259.521</v>
      </c>
      <c r="R33" s="272"/>
      <c r="S33" s="272"/>
      <c r="T33" s="272"/>
      <c r="U33" s="268">
        <f t="shared" si="3"/>
        <v>0.919301072110442</v>
      </c>
      <c r="V33" s="275"/>
    </row>
    <row r="34" spans="1:22" ht="24.75" customHeight="1">
      <c r="A34" s="266">
        <v>24</v>
      </c>
      <c r="B34" s="286" t="s">
        <v>88</v>
      </c>
      <c r="C34" s="410">
        <v>21522</v>
      </c>
      <c r="D34" s="272">
        <f t="shared" si="2"/>
        <v>23869.151773</v>
      </c>
      <c r="E34" s="272">
        <f>21377.664773+2491.487</f>
        <v>23869.151773</v>
      </c>
      <c r="F34" s="272"/>
      <c r="G34" s="272"/>
      <c r="H34" s="272"/>
      <c r="I34" s="272"/>
      <c r="J34" s="272"/>
      <c r="K34" s="272"/>
      <c r="L34" s="272"/>
      <c r="M34" s="272"/>
      <c r="N34" s="272"/>
      <c r="O34" s="272"/>
      <c r="P34" s="272"/>
      <c r="Q34" s="272"/>
      <c r="R34" s="272"/>
      <c r="S34" s="272"/>
      <c r="T34" s="272"/>
      <c r="U34" s="268">
        <f t="shared" si="3"/>
        <v>1.1090582554130657</v>
      </c>
      <c r="V34" s="275"/>
    </row>
    <row r="35" spans="1:22" ht="24.75" customHeight="1">
      <c r="A35" s="266">
        <v>25</v>
      </c>
      <c r="B35" s="286" t="s">
        <v>418</v>
      </c>
      <c r="C35" s="410">
        <v>13563</v>
      </c>
      <c r="D35" s="272">
        <f t="shared" si="2"/>
        <v>18156.7772</v>
      </c>
      <c r="E35" s="272">
        <f>16111+45.7772+2000</f>
        <v>18156.7772</v>
      </c>
      <c r="F35" s="272"/>
      <c r="G35" s="272"/>
      <c r="H35" s="272"/>
      <c r="I35" s="272"/>
      <c r="J35" s="272"/>
      <c r="K35" s="272"/>
      <c r="L35" s="272"/>
      <c r="M35" s="272"/>
      <c r="N35" s="272"/>
      <c r="O35" s="272"/>
      <c r="P35" s="272"/>
      <c r="Q35" s="272"/>
      <c r="R35" s="272"/>
      <c r="S35" s="272"/>
      <c r="T35" s="272"/>
      <c r="U35" s="268">
        <f t="shared" si="3"/>
        <v>1.338699196342992</v>
      </c>
      <c r="V35" s="275"/>
    </row>
    <row r="36" spans="1:22" ht="24.75" customHeight="1">
      <c r="A36" s="266">
        <v>26</v>
      </c>
      <c r="B36" s="286" t="s">
        <v>96</v>
      </c>
      <c r="C36" s="410">
        <v>8961</v>
      </c>
      <c r="D36" s="272">
        <f t="shared" si="2"/>
        <v>9076.627468</v>
      </c>
      <c r="E36" s="272">
        <v>9076.627468</v>
      </c>
      <c r="F36" s="272"/>
      <c r="G36" s="272"/>
      <c r="H36" s="272"/>
      <c r="I36" s="272"/>
      <c r="J36" s="272"/>
      <c r="K36" s="272"/>
      <c r="L36" s="272"/>
      <c r="M36" s="272"/>
      <c r="N36" s="272"/>
      <c r="O36" s="272"/>
      <c r="P36" s="272"/>
      <c r="Q36" s="272"/>
      <c r="R36" s="272"/>
      <c r="S36" s="272"/>
      <c r="T36" s="272"/>
      <c r="U36" s="268">
        <f t="shared" si="3"/>
        <v>1.0129034112264257</v>
      </c>
      <c r="V36" s="275"/>
    </row>
    <row r="37" spans="1:22" ht="24.75" customHeight="1">
      <c r="A37" s="266">
        <v>27</v>
      </c>
      <c r="B37" s="286" t="s">
        <v>90</v>
      </c>
      <c r="C37" s="410">
        <v>996</v>
      </c>
      <c r="D37" s="272">
        <f t="shared" si="2"/>
        <v>939.406883</v>
      </c>
      <c r="E37" s="272"/>
      <c r="F37" s="272"/>
      <c r="G37" s="272"/>
      <c r="H37" s="272"/>
      <c r="I37" s="272"/>
      <c r="J37" s="272"/>
      <c r="K37" s="272"/>
      <c r="L37" s="272"/>
      <c r="M37" s="272"/>
      <c r="N37" s="272"/>
      <c r="O37" s="272"/>
      <c r="P37" s="272"/>
      <c r="Q37" s="272">
        <f>927.406883+12</f>
        <v>939.406883</v>
      </c>
      <c r="R37" s="272"/>
      <c r="S37" s="272"/>
      <c r="T37" s="272"/>
      <c r="U37" s="268">
        <f t="shared" si="3"/>
        <v>0.9431796014056225</v>
      </c>
      <c r="V37" s="275"/>
    </row>
    <row r="38" spans="1:22" ht="24.75" customHeight="1">
      <c r="A38" s="266">
        <v>28</v>
      </c>
      <c r="B38" s="286" t="s">
        <v>91</v>
      </c>
      <c r="C38" s="410">
        <v>36780</v>
      </c>
      <c r="D38" s="272">
        <f t="shared" si="2"/>
        <v>61594.187000000005</v>
      </c>
      <c r="E38" s="272">
        <v>6219</v>
      </c>
      <c r="F38" s="272"/>
      <c r="G38" s="272">
        <v>53522</v>
      </c>
      <c r="H38" s="272"/>
      <c r="I38" s="272"/>
      <c r="J38" s="272"/>
      <c r="K38" s="272"/>
      <c r="L38" s="272"/>
      <c r="M38" s="272">
        <v>55</v>
      </c>
      <c r="N38" s="272">
        <v>779.137</v>
      </c>
      <c r="O38" s="272"/>
      <c r="P38" s="272"/>
      <c r="Q38" s="272">
        <v>60</v>
      </c>
      <c r="R38" s="272">
        <v>959.05</v>
      </c>
      <c r="S38" s="272"/>
      <c r="T38" s="272"/>
      <c r="U38" s="268">
        <f t="shared" si="3"/>
        <v>1.674665225666123</v>
      </c>
      <c r="V38" s="275"/>
    </row>
    <row r="39" spans="1:22" ht="24.75" customHeight="1">
      <c r="A39" s="266">
        <v>29</v>
      </c>
      <c r="B39" s="286" t="s">
        <v>77</v>
      </c>
      <c r="C39" s="410">
        <v>4441</v>
      </c>
      <c r="D39" s="272">
        <f t="shared" si="2"/>
        <v>5544</v>
      </c>
      <c r="E39" s="272"/>
      <c r="F39" s="272"/>
      <c r="G39" s="272"/>
      <c r="H39" s="272"/>
      <c r="I39" s="272"/>
      <c r="J39" s="272"/>
      <c r="K39" s="272"/>
      <c r="L39" s="272"/>
      <c r="M39" s="272"/>
      <c r="N39" s="272"/>
      <c r="O39" s="272"/>
      <c r="P39" s="272"/>
      <c r="Q39" s="272">
        <f>5416+78+50</f>
        <v>5544</v>
      </c>
      <c r="R39" s="272"/>
      <c r="S39" s="272"/>
      <c r="T39" s="272"/>
      <c r="U39" s="268">
        <f t="shared" si="3"/>
        <v>1.2483674848007205</v>
      </c>
      <c r="V39" s="275"/>
    </row>
    <row r="40" spans="1:22" ht="24.75" customHeight="1">
      <c r="A40" s="266">
        <v>30</v>
      </c>
      <c r="B40" s="286" t="s">
        <v>196</v>
      </c>
      <c r="C40" s="410">
        <v>500</v>
      </c>
      <c r="D40" s="272">
        <f t="shared" si="2"/>
        <v>409.677</v>
      </c>
      <c r="E40" s="272"/>
      <c r="F40" s="272"/>
      <c r="G40" s="272"/>
      <c r="H40" s="272"/>
      <c r="I40" s="272"/>
      <c r="J40" s="272"/>
      <c r="K40" s="272"/>
      <c r="L40" s="272"/>
      <c r="M40" s="272"/>
      <c r="N40" s="272">
        <v>409.677</v>
      </c>
      <c r="O40" s="272"/>
      <c r="P40" s="272"/>
      <c r="Q40" s="272"/>
      <c r="R40" s="272"/>
      <c r="S40" s="272"/>
      <c r="T40" s="272"/>
      <c r="U40" s="268">
        <f t="shared" si="3"/>
        <v>0.819354</v>
      </c>
      <c r="V40" s="275"/>
    </row>
    <row r="41" spans="1:22" ht="24.75" customHeight="1">
      <c r="A41" s="266">
        <v>31</v>
      </c>
      <c r="B41" s="286" t="s">
        <v>106</v>
      </c>
      <c r="C41" s="410">
        <v>77</v>
      </c>
      <c r="D41" s="272">
        <f t="shared" si="2"/>
        <v>79</v>
      </c>
      <c r="E41" s="272"/>
      <c r="F41" s="272"/>
      <c r="G41" s="272"/>
      <c r="H41" s="272"/>
      <c r="I41" s="272"/>
      <c r="J41" s="272"/>
      <c r="K41" s="272"/>
      <c r="L41" s="272"/>
      <c r="M41" s="272">
        <v>79</v>
      </c>
      <c r="N41" s="272"/>
      <c r="O41" s="272"/>
      <c r="P41" s="272"/>
      <c r="Q41" s="272"/>
      <c r="R41" s="272"/>
      <c r="S41" s="272"/>
      <c r="T41" s="272"/>
      <c r="U41" s="268">
        <f t="shared" si="3"/>
        <v>1.025974025974026</v>
      </c>
      <c r="V41" s="275"/>
    </row>
    <row r="42" spans="1:22" ht="24.75" customHeight="1">
      <c r="A42" s="266">
        <v>32</v>
      </c>
      <c r="B42" s="286" t="s">
        <v>419</v>
      </c>
      <c r="C42" s="410">
        <v>186</v>
      </c>
      <c r="D42" s="272">
        <f t="shared" si="2"/>
        <v>210</v>
      </c>
      <c r="E42" s="272"/>
      <c r="F42" s="272"/>
      <c r="G42" s="272"/>
      <c r="H42" s="272"/>
      <c r="I42" s="272"/>
      <c r="J42" s="272"/>
      <c r="K42" s="272"/>
      <c r="L42" s="272"/>
      <c r="M42" s="272"/>
      <c r="N42" s="272">
        <f>190+20</f>
        <v>210</v>
      </c>
      <c r="O42" s="272"/>
      <c r="P42" s="272"/>
      <c r="Q42" s="272"/>
      <c r="R42" s="272"/>
      <c r="S42" s="272"/>
      <c r="T42" s="272"/>
      <c r="U42" s="268">
        <f t="shared" si="3"/>
        <v>1.1290322580645162</v>
      </c>
      <c r="V42" s="275"/>
    </row>
    <row r="43" spans="1:22" ht="24.75" customHeight="1">
      <c r="A43" s="266">
        <v>33</v>
      </c>
      <c r="B43" s="286" t="s">
        <v>110</v>
      </c>
      <c r="C43" s="410"/>
      <c r="D43" s="272">
        <f t="shared" si="2"/>
        <v>310913.43</v>
      </c>
      <c r="E43" s="272"/>
      <c r="F43" s="272"/>
      <c r="G43" s="272"/>
      <c r="H43" s="272"/>
      <c r="I43" s="272">
        <v>310913.43</v>
      </c>
      <c r="J43" s="272"/>
      <c r="K43" s="272"/>
      <c r="L43" s="272"/>
      <c r="M43" s="272"/>
      <c r="N43" s="272"/>
      <c r="O43" s="272"/>
      <c r="P43" s="272"/>
      <c r="Q43" s="272"/>
      <c r="R43" s="272"/>
      <c r="S43" s="272"/>
      <c r="T43" s="272"/>
      <c r="U43" s="268"/>
      <c r="V43" s="275"/>
    </row>
    <row r="44" spans="1:22" ht="24.75" customHeight="1">
      <c r="A44" s="266">
        <v>34</v>
      </c>
      <c r="B44" s="286" t="s">
        <v>420</v>
      </c>
      <c r="C44" s="410">
        <v>4287</v>
      </c>
      <c r="D44" s="272">
        <f t="shared" si="2"/>
        <v>4612.784</v>
      </c>
      <c r="E44" s="272">
        <v>221</v>
      </c>
      <c r="F44" s="272"/>
      <c r="G44" s="272"/>
      <c r="H44" s="272"/>
      <c r="I44" s="272"/>
      <c r="J44" s="272"/>
      <c r="K44" s="272"/>
      <c r="L44" s="272"/>
      <c r="M44" s="272"/>
      <c r="N44" s="272"/>
      <c r="O44" s="272"/>
      <c r="P44" s="272"/>
      <c r="Q44" s="272">
        <f>4256.784+85+50</f>
        <v>4391.784</v>
      </c>
      <c r="R44" s="272"/>
      <c r="S44" s="272"/>
      <c r="T44" s="272"/>
      <c r="U44" s="268">
        <f t="shared" si="3"/>
        <v>1.0759934686260788</v>
      </c>
      <c r="V44" s="275"/>
    </row>
    <row r="45" spans="1:22" ht="24.75" customHeight="1">
      <c r="A45" s="266">
        <v>35</v>
      </c>
      <c r="B45" s="286" t="s">
        <v>191</v>
      </c>
      <c r="C45" s="410">
        <v>4725</v>
      </c>
      <c r="D45" s="272">
        <f t="shared" si="2"/>
        <v>5570.7127</v>
      </c>
      <c r="E45" s="272"/>
      <c r="F45" s="272"/>
      <c r="G45" s="272"/>
      <c r="H45" s="272"/>
      <c r="I45" s="272"/>
      <c r="J45" s="272"/>
      <c r="K45" s="272"/>
      <c r="L45" s="272"/>
      <c r="M45" s="272"/>
      <c r="N45" s="272">
        <v>1114.7127</v>
      </c>
      <c r="O45" s="272"/>
      <c r="P45" s="272"/>
      <c r="Q45" s="272">
        <f>4387+69</f>
        <v>4456</v>
      </c>
      <c r="R45" s="272"/>
      <c r="S45" s="272"/>
      <c r="T45" s="272"/>
      <c r="U45" s="268">
        <f t="shared" si="3"/>
        <v>1.1789868148148148</v>
      </c>
      <c r="V45" s="275"/>
    </row>
    <row r="46" spans="1:22" ht="24.75" customHeight="1">
      <c r="A46" s="266">
        <v>36</v>
      </c>
      <c r="B46" s="286" t="s">
        <v>98</v>
      </c>
      <c r="C46" s="410">
        <v>7488</v>
      </c>
      <c r="D46" s="272">
        <f t="shared" si="2"/>
        <v>7857.674803</v>
      </c>
      <c r="E46" s="272"/>
      <c r="F46" s="272"/>
      <c r="G46" s="272"/>
      <c r="H46" s="272"/>
      <c r="I46" s="272"/>
      <c r="J46" s="272">
        <f>1429+19</f>
        <v>1448</v>
      </c>
      <c r="K46" s="272"/>
      <c r="L46" s="272"/>
      <c r="M46" s="272"/>
      <c r="N46" s="272"/>
      <c r="O46" s="272"/>
      <c r="P46" s="272"/>
      <c r="Q46" s="272">
        <f>6330+79.674803</f>
        <v>6409.674803</v>
      </c>
      <c r="R46" s="272"/>
      <c r="S46" s="272"/>
      <c r="T46" s="272"/>
      <c r="U46" s="268">
        <f t="shared" si="3"/>
        <v>1.0493689640758548</v>
      </c>
      <c r="V46" s="275"/>
    </row>
    <row r="47" spans="1:22" ht="24.75" customHeight="1">
      <c r="A47" s="266">
        <v>37</v>
      </c>
      <c r="B47" s="286" t="s">
        <v>192</v>
      </c>
      <c r="C47" s="410">
        <v>2695</v>
      </c>
      <c r="D47" s="272">
        <f t="shared" si="2"/>
        <v>3985.96024</v>
      </c>
      <c r="E47" s="272"/>
      <c r="F47" s="272"/>
      <c r="G47" s="272"/>
      <c r="H47" s="272"/>
      <c r="I47" s="272"/>
      <c r="J47" s="272"/>
      <c r="K47" s="272"/>
      <c r="L47" s="272"/>
      <c r="M47" s="272"/>
      <c r="N47" s="272"/>
      <c r="O47" s="272"/>
      <c r="P47" s="272"/>
      <c r="Q47" s="272">
        <f>3943.911+42.04924</f>
        <v>3985.96024</v>
      </c>
      <c r="R47" s="272"/>
      <c r="S47" s="272"/>
      <c r="T47" s="272"/>
      <c r="U47" s="268">
        <f t="shared" si="3"/>
        <v>1.4790204972170686</v>
      </c>
      <c r="V47" s="275"/>
    </row>
    <row r="48" spans="1:22" ht="24.75" customHeight="1">
      <c r="A48" s="266">
        <v>38</v>
      </c>
      <c r="B48" s="286" t="s">
        <v>101</v>
      </c>
      <c r="C48" s="410">
        <v>100</v>
      </c>
      <c r="D48" s="272">
        <f t="shared" si="2"/>
        <v>100</v>
      </c>
      <c r="E48" s="272"/>
      <c r="F48" s="272"/>
      <c r="G48" s="272"/>
      <c r="H48" s="272"/>
      <c r="I48" s="272"/>
      <c r="J48" s="272"/>
      <c r="K48" s="272"/>
      <c r="L48" s="272"/>
      <c r="M48" s="272"/>
      <c r="N48" s="272"/>
      <c r="O48" s="272"/>
      <c r="P48" s="272"/>
      <c r="Q48" s="272"/>
      <c r="R48" s="272"/>
      <c r="S48" s="272">
        <v>100</v>
      </c>
      <c r="T48" s="272"/>
      <c r="U48" s="268">
        <f t="shared" si="3"/>
        <v>1</v>
      </c>
      <c r="V48" s="275"/>
    </row>
    <row r="49" spans="1:22" ht="24.75" customHeight="1">
      <c r="A49" s="266">
        <v>39</v>
      </c>
      <c r="B49" s="286" t="s">
        <v>102</v>
      </c>
      <c r="C49" s="410">
        <v>200</v>
      </c>
      <c r="D49" s="272">
        <f t="shared" si="2"/>
        <v>200</v>
      </c>
      <c r="E49" s="272"/>
      <c r="F49" s="272"/>
      <c r="G49" s="272"/>
      <c r="H49" s="272"/>
      <c r="I49" s="272"/>
      <c r="J49" s="272"/>
      <c r="K49" s="272"/>
      <c r="L49" s="272"/>
      <c r="M49" s="272"/>
      <c r="N49" s="272"/>
      <c r="O49" s="272"/>
      <c r="P49" s="272"/>
      <c r="Q49" s="272"/>
      <c r="R49" s="272"/>
      <c r="S49" s="272">
        <v>200</v>
      </c>
      <c r="T49" s="272"/>
      <c r="U49" s="268">
        <f t="shared" si="3"/>
        <v>1</v>
      </c>
      <c r="V49" s="275"/>
    </row>
    <row r="50" spans="1:22" ht="24.75" customHeight="1">
      <c r="A50" s="266">
        <v>40</v>
      </c>
      <c r="B50" s="286" t="s">
        <v>103</v>
      </c>
      <c r="C50" s="410">
        <v>100</v>
      </c>
      <c r="D50" s="272">
        <f t="shared" si="2"/>
        <v>100</v>
      </c>
      <c r="E50" s="272"/>
      <c r="F50" s="272"/>
      <c r="G50" s="272"/>
      <c r="H50" s="272"/>
      <c r="I50" s="272"/>
      <c r="J50" s="272"/>
      <c r="K50" s="272"/>
      <c r="L50" s="272"/>
      <c r="M50" s="272"/>
      <c r="N50" s="272"/>
      <c r="O50" s="272"/>
      <c r="P50" s="272"/>
      <c r="Q50" s="272"/>
      <c r="R50" s="272"/>
      <c r="S50" s="272">
        <v>100</v>
      </c>
      <c r="T50" s="272"/>
      <c r="U50" s="268">
        <f t="shared" si="3"/>
        <v>1</v>
      </c>
      <c r="V50" s="275"/>
    </row>
    <row r="51" spans="1:22" ht="24.75" customHeight="1">
      <c r="A51" s="266">
        <v>41</v>
      </c>
      <c r="B51" s="286" t="s">
        <v>104</v>
      </c>
      <c r="C51" s="410">
        <v>100</v>
      </c>
      <c r="D51" s="272">
        <f t="shared" si="2"/>
        <v>100</v>
      </c>
      <c r="E51" s="272"/>
      <c r="F51" s="272"/>
      <c r="G51" s="272"/>
      <c r="H51" s="272"/>
      <c r="I51" s="272"/>
      <c r="J51" s="272"/>
      <c r="K51" s="272"/>
      <c r="L51" s="272"/>
      <c r="M51" s="272"/>
      <c r="N51" s="272"/>
      <c r="O51" s="272"/>
      <c r="P51" s="272"/>
      <c r="Q51" s="272"/>
      <c r="R51" s="272"/>
      <c r="S51" s="272">
        <v>100</v>
      </c>
      <c r="T51" s="272"/>
      <c r="U51" s="268">
        <f t="shared" si="3"/>
        <v>1</v>
      </c>
      <c r="V51" s="275"/>
    </row>
    <row r="52" spans="1:22" ht="24.75" customHeight="1">
      <c r="A52" s="266">
        <v>42</v>
      </c>
      <c r="B52" s="286" t="s">
        <v>199</v>
      </c>
      <c r="C52" s="410">
        <v>10970</v>
      </c>
      <c r="D52" s="272">
        <f t="shared" si="2"/>
        <v>18059.959962</v>
      </c>
      <c r="E52" s="272">
        <v>2370</v>
      </c>
      <c r="F52" s="440"/>
      <c r="G52" s="440"/>
      <c r="H52" s="272">
        <f>13300+1629.515962</f>
        <v>14929.515962</v>
      </c>
      <c r="I52" s="440"/>
      <c r="J52" s="440"/>
      <c r="K52" s="440"/>
      <c r="L52" s="440"/>
      <c r="M52" s="272">
        <v>15</v>
      </c>
      <c r="N52" s="272">
        <v>325.204</v>
      </c>
      <c r="O52" s="440"/>
      <c r="P52" s="440"/>
      <c r="Q52" s="440"/>
      <c r="R52" s="272">
        <v>420.24</v>
      </c>
      <c r="S52" s="440"/>
      <c r="T52" s="272"/>
      <c r="U52" s="268">
        <f t="shared" si="3"/>
        <v>1.6463044632634458</v>
      </c>
      <c r="V52" s="275"/>
    </row>
    <row r="53" spans="1:22" ht="24.75" customHeight="1">
      <c r="A53" s="266">
        <v>43</v>
      </c>
      <c r="B53" s="286" t="s">
        <v>253</v>
      </c>
      <c r="C53" s="410">
        <v>11825</v>
      </c>
      <c r="D53" s="272">
        <f t="shared" si="2"/>
        <v>13764.096</v>
      </c>
      <c r="E53" s="272"/>
      <c r="F53" s="272"/>
      <c r="G53" s="272">
        <f>9395+4369.096</f>
        <v>13764.096</v>
      </c>
      <c r="H53" s="272"/>
      <c r="I53" s="272"/>
      <c r="J53" s="272"/>
      <c r="K53" s="272"/>
      <c r="L53" s="272"/>
      <c r="M53" s="272"/>
      <c r="N53" s="272"/>
      <c r="O53" s="272"/>
      <c r="P53" s="272"/>
      <c r="Q53" s="272"/>
      <c r="R53" s="272"/>
      <c r="S53" s="272"/>
      <c r="T53" s="272"/>
      <c r="U53" s="268">
        <f>D53/C53</f>
        <v>1.1639827484143763</v>
      </c>
      <c r="V53" s="275"/>
    </row>
    <row r="54" spans="1:22" ht="30.75" customHeight="1">
      <c r="A54" s="266">
        <v>44</v>
      </c>
      <c r="B54" s="286" t="s">
        <v>458</v>
      </c>
      <c r="C54" s="410"/>
      <c r="D54" s="272">
        <f t="shared" si="2"/>
        <v>3941.905677</v>
      </c>
      <c r="E54" s="272"/>
      <c r="F54" s="272"/>
      <c r="G54" s="272"/>
      <c r="H54" s="272"/>
      <c r="I54" s="272"/>
      <c r="J54" s="272"/>
      <c r="K54" s="272"/>
      <c r="L54" s="272"/>
      <c r="M54" s="272"/>
      <c r="N54" s="272"/>
      <c r="O54" s="272"/>
      <c r="P54" s="272"/>
      <c r="Q54" s="272"/>
      <c r="R54" s="272"/>
      <c r="S54" s="272">
        <v>3941.905677</v>
      </c>
      <c r="T54" s="272"/>
      <c r="U54" s="268"/>
      <c r="V54" s="275"/>
    </row>
    <row r="55" spans="1:22" ht="30.75" customHeight="1">
      <c r="A55" s="266">
        <v>45</v>
      </c>
      <c r="B55" s="286" t="s">
        <v>198</v>
      </c>
      <c r="C55" s="410"/>
      <c r="D55" s="272">
        <f t="shared" si="2"/>
        <v>732.697</v>
      </c>
      <c r="E55" s="272"/>
      <c r="F55" s="272"/>
      <c r="G55" s="272"/>
      <c r="H55" s="272"/>
      <c r="I55" s="272"/>
      <c r="J55" s="272"/>
      <c r="K55" s="272"/>
      <c r="L55" s="272"/>
      <c r="M55" s="272"/>
      <c r="N55" s="272">
        <v>492.037</v>
      </c>
      <c r="O55" s="272"/>
      <c r="P55" s="272"/>
      <c r="Q55" s="272">
        <v>90</v>
      </c>
      <c r="R55" s="272">
        <v>150.66</v>
      </c>
      <c r="S55" s="272"/>
      <c r="T55" s="272"/>
      <c r="U55" s="268"/>
      <c r="V55" s="275"/>
    </row>
    <row r="56" spans="1:22" ht="30.75" customHeight="1">
      <c r="A56" s="266">
        <v>46</v>
      </c>
      <c r="B56" s="286" t="s">
        <v>640</v>
      </c>
      <c r="C56" s="410"/>
      <c r="D56" s="272">
        <f t="shared" si="2"/>
        <v>3943.447218</v>
      </c>
      <c r="E56" s="272"/>
      <c r="F56" s="272"/>
      <c r="G56" s="272"/>
      <c r="H56" s="272"/>
      <c r="I56" s="272"/>
      <c r="J56" s="272"/>
      <c r="K56" s="272"/>
      <c r="L56" s="272"/>
      <c r="M56" s="272"/>
      <c r="N56" s="272">
        <v>3943.447218</v>
      </c>
      <c r="O56" s="272"/>
      <c r="P56" s="272"/>
      <c r="Q56" s="272"/>
      <c r="R56" s="272"/>
      <c r="S56" s="272"/>
      <c r="T56" s="272"/>
      <c r="U56" s="268"/>
      <c r="V56" s="275"/>
    </row>
    <row r="57" spans="1:22" ht="24.75" customHeight="1">
      <c r="A57" s="266">
        <v>45</v>
      </c>
      <c r="B57" s="286" t="s">
        <v>463</v>
      </c>
      <c r="C57" s="423">
        <v>15649</v>
      </c>
      <c r="D57" s="272">
        <f t="shared" si="2"/>
        <v>19366.3895</v>
      </c>
      <c r="E57" s="438"/>
      <c r="F57" s="438"/>
      <c r="G57" s="438"/>
      <c r="H57" s="438"/>
      <c r="I57" s="438"/>
      <c r="J57" s="438"/>
      <c r="K57" s="438"/>
      <c r="L57" s="438"/>
      <c r="M57" s="438"/>
      <c r="N57" s="438">
        <f>15649+3717.3895</f>
        <v>19366.3895</v>
      </c>
      <c r="O57" s="438"/>
      <c r="P57" s="438">
        <v>15649</v>
      </c>
      <c r="Q57" s="438"/>
      <c r="R57" s="438"/>
      <c r="S57" s="438"/>
      <c r="T57" s="438"/>
      <c r="U57" s="441"/>
      <c r="V57" s="275"/>
    </row>
    <row r="58" spans="1:22" ht="24.75" customHeight="1">
      <c r="A58" s="266">
        <v>46</v>
      </c>
      <c r="B58" s="286" t="s">
        <v>464</v>
      </c>
      <c r="C58" s="423">
        <v>1566</v>
      </c>
      <c r="D58" s="272">
        <f t="shared" si="2"/>
        <v>1938.56</v>
      </c>
      <c r="E58" s="438"/>
      <c r="F58" s="438"/>
      <c r="G58" s="438"/>
      <c r="H58" s="438"/>
      <c r="I58" s="438"/>
      <c r="J58" s="438"/>
      <c r="K58" s="438"/>
      <c r="L58" s="438"/>
      <c r="M58" s="438"/>
      <c r="N58" s="438">
        <f>1566+372.56</f>
        <v>1938.56</v>
      </c>
      <c r="O58" s="438"/>
      <c r="P58" s="438">
        <v>1566</v>
      </c>
      <c r="Q58" s="438"/>
      <c r="R58" s="438"/>
      <c r="S58" s="438"/>
      <c r="T58" s="438"/>
      <c r="U58" s="441"/>
      <c r="V58" s="275"/>
    </row>
    <row r="59" spans="1:22" ht="24.75" customHeight="1">
      <c r="A59" s="44" t="s">
        <v>50</v>
      </c>
      <c r="B59" s="424" t="s">
        <v>413</v>
      </c>
      <c r="C59" s="430">
        <f>SUM(C60:C72)</f>
        <v>11221</v>
      </c>
      <c r="D59" s="439">
        <f>SUM(D60:D72)</f>
        <v>15081.148357</v>
      </c>
      <c r="E59" s="439">
        <f aca="true" t="shared" si="4" ref="E59:T59">SUM(E60:E72)</f>
        <v>0</v>
      </c>
      <c r="F59" s="439">
        <f t="shared" si="4"/>
        <v>0</v>
      </c>
      <c r="G59" s="439">
        <f t="shared" si="4"/>
        <v>0</v>
      </c>
      <c r="H59" s="439">
        <f t="shared" si="4"/>
        <v>0</v>
      </c>
      <c r="I59" s="439">
        <f t="shared" si="4"/>
        <v>0</v>
      </c>
      <c r="J59" s="439">
        <f t="shared" si="4"/>
        <v>580</v>
      </c>
      <c r="K59" s="439">
        <f t="shared" si="4"/>
        <v>0</v>
      </c>
      <c r="L59" s="439">
        <f t="shared" si="4"/>
        <v>0</v>
      </c>
      <c r="M59" s="439">
        <f t="shared" si="4"/>
        <v>0</v>
      </c>
      <c r="N59" s="439">
        <f t="shared" si="4"/>
        <v>0</v>
      </c>
      <c r="O59" s="439">
        <f t="shared" si="4"/>
        <v>0</v>
      </c>
      <c r="P59" s="439">
        <f t="shared" si="4"/>
        <v>0</v>
      </c>
      <c r="Q59" s="439">
        <f t="shared" si="4"/>
        <v>14501.148357</v>
      </c>
      <c r="R59" s="439">
        <f t="shared" si="4"/>
        <v>0</v>
      </c>
      <c r="S59" s="439">
        <f t="shared" si="4"/>
        <v>0</v>
      </c>
      <c r="T59" s="439">
        <f t="shared" si="4"/>
        <v>0</v>
      </c>
      <c r="U59" s="441"/>
      <c r="V59" s="275"/>
    </row>
    <row r="60" spans="1:22" ht="24.75" customHeight="1">
      <c r="A60" s="42">
        <v>1</v>
      </c>
      <c r="B60" s="286" t="s">
        <v>422</v>
      </c>
      <c r="C60" s="423">
        <v>2806</v>
      </c>
      <c r="D60" s="272">
        <f aca="true" t="shared" si="5" ref="D60:D72">SUM(E60:N60,Q60,R60:T60)</f>
        <v>3149</v>
      </c>
      <c r="E60" s="439"/>
      <c r="F60" s="439"/>
      <c r="G60" s="439"/>
      <c r="H60" s="439"/>
      <c r="I60" s="439"/>
      <c r="J60" s="439"/>
      <c r="K60" s="439"/>
      <c r="L60" s="439"/>
      <c r="M60" s="439"/>
      <c r="N60" s="439"/>
      <c r="O60" s="439"/>
      <c r="P60" s="439"/>
      <c r="Q60" s="438">
        <f>2983+166</f>
        <v>3149</v>
      </c>
      <c r="R60" s="439"/>
      <c r="S60" s="439"/>
      <c r="T60" s="439"/>
      <c r="U60" s="441"/>
      <c r="V60" s="275"/>
    </row>
    <row r="61" spans="1:22" ht="24.75" customHeight="1">
      <c r="A61" s="42">
        <v>2</v>
      </c>
      <c r="B61" s="286" t="s">
        <v>421</v>
      </c>
      <c r="C61" s="423">
        <v>1980</v>
      </c>
      <c r="D61" s="272">
        <f t="shared" si="5"/>
        <v>2685</v>
      </c>
      <c r="E61" s="439"/>
      <c r="F61" s="439"/>
      <c r="G61" s="439"/>
      <c r="H61" s="439"/>
      <c r="I61" s="439"/>
      <c r="J61" s="439">
        <v>485</v>
      </c>
      <c r="K61" s="439"/>
      <c r="L61" s="439"/>
      <c r="M61" s="439"/>
      <c r="N61" s="439"/>
      <c r="O61" s="439"/>
      <c r="P61" s="439"/>
      <c r="Q61" s="438">
        <f>2166+34</f>
        <v>2200</v>
      </c>
      <c r="R61" s="439"/>
      <c r="S61" s="439"/>
      <c r="T61" s="439"/>
      <c r="U61" s="441"/>
      <c r="V61" s="275"/>
    </row>
    <row r="62" spans="1:22" ht="24.75" customHeight="1">
      <c r="A62" s="42">
        <v>3</v>
      </c>
      <c r="B62" s="286" t="s">
        <v>195</v>
      </c>
      <c r="C62" s="423">
        <v>300</v>
      </c>
      <c r="D62" s="272">
        <f t="shared" si="5"/>
        <v>308</v>
      </c>
      <c r="E62" s="439"/>
      <c r="F62" s="439"/>
      <c r="G62" s="439"/>
      <c r="H62" s="439"/>
      <c r="I62" s="439"/>
      <c r="J62" s="439"/>
      <c r="K62" s="439"/>
      <c r="L62" s="439"/>
      <c r="M62" s="439"/>
      <c r="N62" s="439"/>
      <c r="O62" s="439"/>
      <c r="P62" s="439"/>
      <c r="Q62" s="438">
        <f>304+4</f>
        <v>308</v>
      </c>
      <c r="R62" s="439"/>
      <c r="S62" s="439"/>
      <c r="T62" s="439"/>
      <c r="U62" s="441"/>
      <c r="V62" s="275"/>
    </row>
    <row r="63" spans="1:22" ht="24.75" customHeight="1">
      <c r="A63" s="42">
        <v>4</v>
      </c>
      <c r="B63" s="286" t="s">
        <v>93</v>
      </c>
      <c r="C63" s="423">
        <v>380</v>
      </c>
      <c r="D63" s="272">
        <f t="shared" si="5"/>
        <v>393</v>
      </c>
      <c r="E63" s="439"/>
      <c r="F63" s="439"/>
      <c r="G63" s="439"/>
      <c r="H63" s="439"/>
      <c r="I63" s="439"/>
      <c r="J63" s="439"/>
      <c r="K63" s="439"/>
      <c r="L63" s="439"/>
      <c r="M63" s="439"/>
      <c r="N63" s="439"/>
      <c r="O63" s="439"/>
      <c r="P63" s="439"/>
      <c r="Q63" s="438">
        <f>385+8</f>
        <v>393</v>
      </c>
      <c r="R63" s="439"/>
      <c r="S63" s="439"/>
      <c r="T63" s="439"/>
      <c r="U63" s="441"/>
      <c r="V63" s="275"/>
    </row>
    <row r="64" spans="1:22" ht="24.75" customHeight="1">
      <c r="A64" s="42">
        <v>5</v>
      </c>
      <c r="B64" s="286" t="s">
        <v>423</v>
      </c>
      <c r="C64" s="423">
        <v>306</v>
      </c>
      <c r="D64" s="272">
        <f t="shared" si="5"/>
        <v>316</v>
      </c>
      <c r="E64" s="439"/>
      <c r="F64" s="439"/>
      <c r="G64" s="439"/>
      <c r="H64" s="439"/>
      <c r="I64" s="439"/>
      <c r="J64" s="439"/>
      <c r="K64" s="439"/>
      <c r="L64" s="439"/>
      <c r="M64" s="439"/>
      <c r="N64" s="439"/>
      <c r="O64" s="439"/>
      <c r="P64" s="439"/>
      <c r="Q64" s="438">
        <f>311+5</f>
        <v>316</v>
      </c>
      <c r="R64" s="439"/>
      <c r="S64" s="439"/>
      <c r="T64" s="439"/>
      <c r="U64" s="441"/>
      <c r="V64" s="275"/>
    </row>
    <row r="65" spans="1:22" ht="24.75" customHeight="1">
      <c r="A65" s="42">
        <v>6</v>
      </c>
      <c r="B65" s="286" t="s">
        <v>428</v>
      </c>
      <c r="C65" s="423">
        <v>790</v>
      </c>
      <c r="D65" s="272">
        <f t="shared" si="5"/>
        <v>2936.664198</v>
      </c>
      <c r="E65" s="439"/>
      <c r="F65" s="439"/>
      <c r="G65" s="439"/>
      <c r="H65" s="439"/>
      <c r="I65" s="439"/>
      <c r="J65" s="439"/>
      <c r="K65" s="439"/>
      <c r="L65" s="439"/>
      <c r="M65" s="439"/>
      <c r="N65" s="439"/>
      <c r="O65" s="439"/>
      <c r="P65" s="439"/>
      <c r="Q65" s="438">
        <f>931+7+1998.664198</f>
        <v>2936.664198</v>
      </c>
      <c r="R65" s="439"/>
      <c r="S65" s="439"/>
      <c r="T65" s="438"/>
      <c r="U65" s="441"/>
      <c r="V65" s="275"/>
    </row>
    <row r="66" spans="1:22" ht="24.75" customHeight="1">
      <c r="A66" s="42">
        <v>7</v>
      </c>
      <c r="B66" s="286" t="s">
        <v>193</v>
      </c>
      <c r="C66" s="423">
        <v>1112</v>
      </c>
      <c r="D66" s="272">
        <f t="shared" si="5"/>
        <v>1084.75</v>
      </c>
      <c r="E66" s="439"/>
      <c r="F66" s="439"/>
      <c r="G66" s="439"/>
      <c r="H66" s="439"/>
      <c r="I66" s="439"/>
      <c r="J66" s="439"/>
      <c r="K66" s="439"/>
      <c r="L66" s="439"/>
      <c r="M66" s="439"/>
      <c r="N66" s="439"/>
      <c r="O66" s="439"/>
      <c r="P66" s="439"/>
      <c r="Q66" s="438">
        <v>1084.75</v>
      </c>
      <c r="R66" s="439"/>
      <c r="S66" s="439"/>
      <c r="T66" s="439"/>
      <c r="U66" s="441"/>
      <c r="V66" s="275"/>
    </row>
    <row r="67" spans="1:22" ht="24.75" customHeight="1">
      <c r="A67" s="42">
        <v>8</v>
      </c>
      <c r="B67" s="286" t="s">
        <v>424</v>
      </c>
      <c r="C67" s="423">
        <v>260</v>
      </c>
      <c r="D67" s="272">
        <f t="shared" si="5"/>
        <v>325.915659</v>
      </c>
      <c r="E67" s="439"/>
      <c r="F67" s="439"/>
      <c r="G67" s="439"/>
      <c r="H67" s="439"/>
      <c r="I67" s="439"/>
      <c r="J67" s="439"/>
      <c r="K67" s="439"/>
      <c r="L67" s="439"/>
      <c r="M67" s="439"/>
      <c r="N67" s="439"/>
      <c r="O67" s="439"/>
      <c r="P67" s="439"/>
      <c r="Q67" s="438">
        <v>325.915659</v>
      </c>
      <c r="R67" s="439"/>
      <c r="S67" s="439"/>
      <c r="T67" s="439"/>
      <c r="U67" s="441"/>
      <c r="V67" s="275"/>
    </row>
    <row r="68" spans="1:22" ht="24.75" customHeight="1">
      <c r="A68" s="42">
        <v>9</v>
      </c>
      <c r="B68" s="286" t="s">
        <v>425</v>
      </c>
      <c r="C68" s="423">
        <v>890</v>
      </c>
      <c r="D68" s="272">
        <f t="shared" si="5"/>
        <v>1042</v>
      </c>
      <c r="E68" s="439"/>
      <c r="F68" s="439"/>
      <c r="G68" s="439"/>
      <c r="H68" s="439"/>
      <c r="I68" s="439"/>
      <c r="J68" s="439">
        <v>95</v>
      </c>
      <c r="K68" s="439"/>
      <c r="L68" s="439"/>
      <c r="M68" s="439"/>
      <c r="N68" s="439"/>
      <c r="O68" s="439"/>
      <c r="P68" s="439"/>
      <c r="Q68" s="438">
        <f>935+12</f>
        <v>947</v>
      </c>
      <c r="R68" s="439"/>
      <c r="S68" s="439"/>
      <c r="T68" s="439"/>
      <c r="U68" s="441"/>
      <c r="V68" s="275"/>
    </row>
    <row r="69" spans="1:22" ht="24.75" customHeight="1">
      <c r="A69" s="42">
        <v>10</v>
      </c>
      <c r="B69" s="286" t="s">
        <v>105</v>
      </c>
      <c r="C69" s="423">
        <v>198</v>
      </c>
      <c r="D69" s="272">
        <f t="shared" si="5"/>
        <v>184.732</v>
      </c>
      <c r="E69" s="439"/>
      <c r="F69" s="439"/>
      <c r="G69" s="439"/>
      <c r="H69" s="439"/>
      <c r="I69" s="439"/>
      <c r="J69" s="439"/>
      <c r="K69" s="439"/>
      <c r="L69" s="439"/>
      <c r="M69" s="439"/>
      <c r="N69" s="439"/>
      <c r="O69" s="439"/>
      <c r="P69" s="439"/>
      <c r="Q69" s="438">
        <v>184.732</v>
      </c>
      <c r="R69" s="439"/>
      <c r="S69" s="439"/>
      <c r="T69" s="439"/>
      <c r="U69" s="441"/>
      <c r="V69" s="275"/>
    </row>
    <row r="70" spans="1:22" ht="24.75" customHeight="1">
      <c r="A70" s="42">
        <v>11</v>
      </c>
      <c r="B70" s="286" t="s">
        <v>426</v>
      </c>
      <c r="C70" s="423">
        <v>326</v>
      </c>
      <c r="D70" s="272">
        <f t="shared" si="5"/>
        <v>346.0865</v>
      </c>
      <c r="E70" s="439"/>
      <c r="F70" s="439"/>
      <c r="G70" s="439"/>
      <c r="H70" s="439"/>
      <c r="I70" s="439"/>
      <c r="J70" s="439"/>
      <c r="K70" s="439"/>
      <c r="L70" s="439"/>
      <c r="M70" s="439"/>
      <c r="N70" s="439"/>
      <c r="O70" s="439"/>
      <c r="P70" s="439"/>
      <c r="Q70" s="438">
        <f>327.0865+19</f>
        <v>346.0865</v>
      </c>
      <c r="R70" s="439"/>
      <c r="S70" s="439"/>
      <c r="T70" s="439"/>
      <c r="U70" s="441"/>
      <c r="V70" s="275"/>
    </row>
    <row r="71" spans="1:22" ht="24.75" customHeight="1">
      <c r="A71" s="42">
        <v>12</v>
      </c>
      <c r="B71" s="286" t="s">
        <v>427</v>
      </c>
      <c r="C71" s="423">
        <v>1873</v>
      </c>
      <c r="D71" s="272">
        <f t="shared" si="5"/>
        <v>1956</v>
      </c>
      <c r="E71" s="439"/>
      <c r="F71" s="439"/>
      <c r="G71" s="439"/>
      <c r="H71" s="439"/>
      <c r="I71" s="439"/>
      <c r="J71" s="439"/>
      <c r="K71" s="439"/>
      <c r="L71" s="439"/>
      <c r="M71" s="439"/>
      <c r="N71" s="439"/>
      <c r="O71" s="439"/>
      <c r="P71" s="439"/>
      <c r="Q71" s="438">
        <f>1920+36</f>
        <v>1956</v>
      </c>
      <c r="R71" s="439"/>
      <c r="S71" s="439"/>
      <c r="T71" s="439"/>
      <c r="U71" s="441"/>
      <c r="V71" s="275"/>
    </row>
    <row r="72" spans="1:22" ht="24.75" customHeight="1">
      <c r="A72" s="42">
        <v>13</v>
      </c>
      <c r="B72" s="286" t="s">
        <v>97</v>
      </c>
      <c r="C72" s="430"/>
      <c r="D72" s="272">
        <f t="shared" si="5"/>
        <v>354</v>
      </c>
      <c r="E72" s="439"/>
      <c r="F72" s="439"/>
      <c r="G72" s="439"/>
      <c r="H72" s="439"/>
      <c r="I72" s="439"/>
      <c r="J72" s="439"/>
      <c r="K72" s="439"/>
      <c r="L72" s="439"/>
      <c r="M72" s="439"/>
      <c r="N72" s="439"/>
      <c r="O72" s="439"/>
      <c r="P72" s="439"/>
      <c r="Q72" s="438">
        <v>354</v>
      </c>
      <c r="R72" s="439"/>
      <c r="S72" s="439"/>
      <c r="T72" s="439"/>
      <c r="U72" s="441"/>
      <c r="V72" s="275"/>
    </row>
    <row r="73" spans="1:21" ht="15">
      <c r="A73" s="288"/>
      <c r="B73" s="442"/>
      <c r="C73" s="443"/>
      <c r="D73" s="289"/>
      <c r="E73" s="289"/>
      <c r="F73" s="289"/>
      <c r="G73" s="289"/>
      <c r="H73" s="289"/>
      <c r="I73" s="289"/>
      <c r="J73" s="289"/>
      <c r="K73" s="289"/>
      <c r="L73" s="289"/>
      <c r="M73" s="289"/>
      <c r="N73" s="289"/>
      <c r="O73" s="289"/>
      <c r="P73" s="289"/>
      <c r="Q73" s="289"/>
      <c r="R73" s="289"/>
      <c r="S73" s="289"/>
      <c r="T73" s="289"/>
      <c r="U73" s="444"/>
    </row>
  </sheetData>
  <sheetProtection/>
  <mergeCells count="25">
    <mergeCell ref="A2:U2"/>
    <mergeCell ref="A5:A8"/>
    <mergeCell ref="B5:B8"/>
    <mergeCell ref="C5:C8"/>
    <mergeCell ref="D5:D8"/>
    <mergeCell ref="A3:U3"/>
    <mergeCell ref="N7:N8"/>
    <mergeCell ref="O7:P7"/>
    <mergeCell ref="Q7:Q8"/>
    <mergeCell ref="H7:H8"/>
    <mergeCell ref="F7:F8"/>
    <mergeCell ref="S7:S8"/>
    <mergeCell ref="E6:T6"/>
    <mergeCell ref="K7:K8"/>
    <mergeCell ref="R4:U4"/>
    <mergeCell ref="T7:T8"/>
    <mergeCell ref="E7:E8"/>
    <mergeCell ref="E5:T5"/>
    <mergeCell ref="I7:I8"/>
    <mergeCell ref="U5:U8"/>
    <mergeCell ref="R7:R8"/>
    <mergeCell ref="L7:L8"/>
    <mergeCell ref="M7:M8"/>
    <mergeCell ref="G7:G8"/>
    <mergeCell ref="J7:J8"/>
  </mergeCells>
  <printOptions horizontalCentered="1"/>
  <pageMargins left="0" right="0" top="0.34" bottom="0" header="0.31496062992126" footer="0.2"/>
  <pageSetup horizontalDpi="300" verticalDpi="300" orientation="landscape" paperSize="9" scale="57" r:id="rId1"/>
</worksheet>
</file>

<file path=xl/worksheets/sheet16.xml><?xml version="1.0" encoding="utf-8"?>
<worksheet xmlns="http://schemas.openxmlformats.org/spreadsheetml/2006/main" xmlns:r="http://schemas.openxmlformats.org/officeDocument/2006/relationships">
  <dimension ref="A1:U72"/>
  <sheetViews>
    <sheetView zoomScalePageLayoutView="0" workbookViewId="0" topLeftCell="A1">
      <selection activeCell="D6" sqref="D6"/>
    </sheetView>
  </sheetViews>
  <sheetFormatPr defaultColWidth="9.125" defaultRowHeight="14.25"/>
  <cols>
    <col min="1" max="1" width="6.75390625" style="250" customWidth="1"/>
    <col min="2" max="2" width="27.125" style="250" customWidth="1"/>
    <col min="3" max="3" width="12.75390625" style="250" customWidth="1"/>
    <col min="4" max="4" width="11.75390625" style="250" customWidth="1"/>
    <col min="5" max="5" width="14.125" style="250" customWidth="1"/>
    <col min="6" max="6" width="11.875" style="250" customWidth="1"/>
    <col min="7" max="7" width="10.625" style="250" customWidth="1"/>
    <col min="8" max="8" width="16.00390625" style="275" customWidth="1"/>
    <col min="9" max="9" width="12.875" style="250" customWidth="1"/>
    <col min="10" max="10" width="10.25390625" style="250" customWidth="1"/>
    <col min="11" max="11" width="10.125" style="250" customWidth="1"/>
    <col min="12" max="16384" width="9.125" style="250" customWidth="1"/>
  </cols>
  <sheetData>
    <row r="1" ht="15">
      <c r="K1" s="276" t="s">
        <v>15</v>
      </c>
    </row>
    <row r="2" spans="1:11" ht="52.5" customHeight="1">
      <c r="A2" s="688" t="s">
        <v>649</v>
      </c>
      <c r="B2" s="688"/>
      <c r="C2" s="688"/>
      <c r="D2" s="688"/>
      <c r="E2" s="688"/>
      <c r="F2" s="688"/>
      <c r="G2" s="688"/>
      <c r="H2" s="688"/>
      <c r="I2" s="688"/>
      <c r="J2" s="688"/>
      <c r="K2" s="688"/>
    </row>
    <row r="3" spans="1:21" ht="18.75">
      <c r="A3" s="597" t="s">
        <v>680</v>
      </c>
      <c r="B3" s="597"/>
      <c r="C3" s="597"/>
      <c r="D3" s="597"/>
      <c r="E3" s="597"/>
      <c r="F3" s="597"/>
      <c r="G3" s="597"/>
      <c r="H3" s="597"/>
      <c r="I3" s="597"/>
      <c r="J3" s="597"/>
      <c r="K3" s="597"/>
      <c r="L3" s="559"/>
      <c r="M3" s="559"/>
      <c r="N3" s="559"/>
      <c r="O3" s="559"/>
      <c r="P3" s="559"/>
      <c r="Q3" s="559"/>
      <c r="R3" s="559"/>
      <c r="S3" s="559"/>
      <c r="T3" s="559"/>
      <c r="U3" s="559"/>
    </row>
    <row r="4" ht="15">
      <c r="K4" s="277" t="s">
        <v>48</v>
      </c>
    </row>
    <row r="5" spans="1:11" ht="17.25" customHeight="1">
      <c r="A5" s="689" t="s">
        <v>43</v>
      </c>
      <c r="B5" s="689" t="s">
        <v>71</v>
      </c>
      <c r="C5" s="689" t="s">
        <v>82</v>
      </c>
      <c r="D5" s="690" t="s">
        <v>290</v>
      </c>
      <c r="E5" s="691"/>
      <c r="F5" s="691"/>
      <c r="G5" s="692"/>
      <c r="H5" s="693" t="s">
        <v>16</v>
      </c>
      <c r="I5" s="689" t="s">
        <v>17</v>
      </c>
      <c r="J5" s="689" t="s">
        <v>72</v>
      </c>
      <c r="K5" s="689"/>
    </row>
    <row r="6" spans="1:11" ht="60.75" customHeight="1">
      <c r="A6" s="689"/>
      <c r="B6" s="689"/>
      <c r="C6" s="689"/>
      <c r="D6" s="278" t="s">
        <v>83</v>
      </c>
      <c r="E6" s="278" t="s">
        <v>18</v>
      </c>
      <c r="F6" s="278" t="s">
        <v>438</v>
      </c>
      <c r="G6" s="278" t="s">
        <v>439</v>
      </c>
      <c r="H6" s="693"/>
      <c r="I6" s="689"/>
      <c r="J6" s="278" t="s">
        <v>19</v>
      </c>
      <c r="K6" s="278" t="s">
        <v>20</v>
      </c>
    </row>
    <row r="7" spans="1:11" ht="15">
      <c r="A7" s="278" t="s">
        <v>45</v>
      </c>
      <c r="B7" s="278" t="s">
        <v>46</v>
      </c>
      <c r="C7" s="278" t="s">
        <v>84</v>
      </c>
      <c r="D7" s="278">
        <v>2</v>
      </c>
      <c r="E7" s="278">
        <v>3</v>
      </c>
      <c r="F7" s="278">
        <v>4</v>
      </c>
      <c r="G7" s="278">
        <v>5</v>
      </c>
      <c r="H7" s="279">
        <v>6</v>
      </c>
      <c r="I7" s="278" t="s">
        <v>85</v>
      </c>
      <c r="J7" s="278">
        <v>8</v>
      </c>
      <c r="K7" s="278">
        <v>9</v>
      </c>
    </row>
    <row r="8" spans="1:11" ht="18" customHeight="1">
      <c r="A8" s="280"/>
      <c r="B8" s="280" t="s">
        <v>68</v>
      </c>
      <c r="C8" s="257">
        <f>SUM(C9,C58)</f>
        <v>2091141.720699</v>
      </c>
      <c r="D8" s="257">
        <f>SUM(D9,D58)</f>
        <v>121259.181309</v>
      </c>
      <c r="E8" s="257">
        <f aca="true" t="shared" si="0" ref="E8:K8">SUM(E9,E58)</f>
        <v>1343885</v>
      </c>
      <c r="F8" s="257">
        <f t="shared" si="0"/>
        <v>627456.5393899999</v>
      </c>
      <c r="G8" s="257">
        <f t="shared" si="0"/>
        <v>1459</v>
      </c>
      <c r="H8" s="256">
        <f>SUM(H9,H58)</f>
        <v>1951447.425198999</v>
      </c>
      <c r="I8" s="257">
        <f>SUM(I9,I58)</f>
        <v>139694.29550000004</v>
      </c>
      <c r="J8" s="257">
        <f t="shared" si="0"/>
        <v>99838.140901</v>
      </c>
      <c r="K8" s="257">
        <f t="shared" si="0"/>
        <v>37118.469586</v>
      </c>
    </row>
    <row r="9" spans="1:11" ht="18" customHeight="1">
      <c r="A9" s="281">
        <v>1</v>
      </c>
      <c r="B9" s="282" t="s">
        <v>261</v>
      </c>
      <c r="C9" s="264">
        <f>SUM(C10:C57)</f>
        <v>2075975.80504</v>
      </c>
      <c r="D9" s="264">
        <f>SUM(D10:D57)</f>
        <v>121199.26565</v>
      </c>
      <c r="E9" s="264">
        <f aca="true" t="shared" si="1" ref="E9:K9">SUM(E10:E57)</f>
        <v>1332664</v>
      </c>
      <c r="F9" s="264">
        <f t="shared" si="1"/>
        <v>623571.5393899999</v>
      </c>
      <c r="G9" s="264">
        <f t="shared" si="1"/>
        <v>1459</v>
      </c>
      <c r="H9" s="263">
        <f>SUM(H10:H57)</f>
        <v>1936366.276841999</v>
      </c>
      <c r="I9" s="264">
        <f t="shared" si="1"/>
        <v>139609.52819800004</v>
      </c>
      <c r="J9" s="264">
        <f t="shared" si="1"/>
        <v>99803.959401</v>
      </c>
      <c r="K9" s="264">
        <f t="shared" si="1"/>
        <v>37067.883784</v>
      </c>
    </row>
    <row r="10" spans="1:11" ht="18" customHeight="1">
      <c r="A10" s="266">
        <v>1</v>
      </c>
      <c r="B10" s="283" t="s">
        <v>190</v>
      </c>
      <c r="C10" s="270">
        <f>SUM(D10:F10)-G10</f>
        <v>80878.397467</v>
      </c>
      <c r="D10" s="270">
        <v>229.397467</v>
      </c>
      <c r="E10" s="270">
        <v>71760</v>
      </c>
      <c r="F10" s="270">
        <f>4097+3500+1292</f>
        <v>8889</v>
      </c>
      <c r="G10" s="270"/>
      <c r="H10" s="284">
        <f>79436.397467+1292+150</f>
        <v>80878.397467</v>
      </c>
      <c r="I10" s="270">
        <f aca="true" t="shared" si="2" ref="I10:I57">C10-H10</f>
        <v>0</v>
      </c>
      <c r="J10" s="264"/>
      <c r="K10" s="264"/>
    </row>
    <row r="11" spans="1:11" ht="18" customHeight="1">
      <c r="A11" s="266">
        <v>2</v>
      </c>
      <c r="B11" s="271" t="s">
        <v>454</v>
      </c>
      <c r="C11" s="270">
        <f aca="true" t="shared" si="3" ref="C11:C57">SUM(D11:F11)-G11</f>
        <v>27179</v>
      </c>
      <c r="D11" s="272"/>
      <c r="E11" s="272">
        <v>26538</v>
      </c>
      <c r="F11" s="272">
        <f>445+196</f>
        <v>641</v>
      </c>
      <c r="G11" s="272"/>
      <c r="H11" s="273">
        <f>26930.103891+196</f>
        <v>27126.103891</v>
      </c>
      <c r="I11" s="270">
        <f>C11-H11</f>
        <v>52.89610900000116</v>
      </c>
      <c r="J11" s="272">
        <v>0.565609</v>
      </c>
      <c r="K11" s="272">
        <f>11.5948+40.736</f>
        <v>52.330799999999996</v>
      </c>
    </row>
    <row r="12" spans="1:11" ht="18" customHeight="1">
      <c r="A12" s="266">
        <v>3</v>
      </c>
      <c r="B12" s="271" t="s">
        <v>455</v>
      </c>
      <c r="C12" s="270">
        <f t="shared" si="3"/>
        <v>400</v>
      </c>
      <c r="D12" s="272"/>
      <c r="E12" s="272"/>
      <c r="F12" s="272">
        <v>400</v>
      </c>
      <c r="G12" s="272"/>
      <c r="H12" s="273">
        <v>400</v>
      </c>
      <c r="I12" s="270">
        <f t="shared" si="2"/>
        <v>0</v>
      </c>
      <c r="J12" s="272"/>
      <c r="K12" s="272"/>
    </row>
    <row r="13" spans="1:11" ht="18" customHeight="1">
      <c r="A13" s="266">
        <v>4</v>
      </c>
      <c r="B13" s="271" t="s">
        <v>87</v>
      </c>
      <c r="C13" s="270">
        <f t="shared" si="3"/>
        <v>13509</v>
      </c>
      <c r="D13" s="272">
        <v>250</v>
      </c>
      <c r="E13" s="272">
        <v>13000</v>
      </c>
      <c r="F13" s="272">
        <f>135+124</f>
        <v>259</v>
      </c>
      <c r="G13" s="272"/>
      <c r="H13" s="273">
        <f>12816.106405+124</f>
        <v>12940.106405</v>
      </c>
      <c r="I13" s="270">
        <f>C13-H13</f>
        <v>568.8935949999996</v>
      </c>
      <c r="J13" s="272">
        <v>11.45</v>
      </c>
      <c r="K13" s="272">
        <v>557.443595</v>
      </c>
    </row>
    <row r="14" spans="1:11" ht="18" customHeight="1">
      <c r="A14" s="266">
        <v>5</v>
      </c>
      <c r="B14" s="271" t="s">
        <v>86</v>
      </c>
      <c r="C14" s="270">
        <f t="shared" si="3"/>
        <v>70292.1218</v>
      </c>
      <c r="D14" s="272">
        <f>9679+720+53.9218</f>
        <v>10452.9218</v>
      </c>
      <c r="E14" s="272">
        <f>51391+1000+1800</f>
        <v>54191</v>
      </c>
      <c r="F14" s="272">
        <f>2107.2+3000+541</f>
        <v>5648.2</v>
      </c>
      <c r="G14" s="272"/>
      <c r="H14" s="273">
        <f>65696.8158+541+720+53.9218</f>
        <v>67011.7376</v>
      </c>
      <c r="I14" s="270">
        <f>C14-H14</f>
        <v>3280.3842000000004</v>
      </c>
      <c r="J14" s="272">
        <f>136.2+3000</f>
        <v>3136.2</v>
      </c>
      <c r="K14" s="272">
        <f>117.7477+26.4365</f>
        <v>144.1842</v>
      </c>
    </row>
    <row r="15" spans="1:11" ht="18" customHeight="1">
      <c r="A15" s="266">
        <v>6</v>
      </c>
      <c r="B15" s="271" t="s">
        <v>182</v>
      </c>
      <c r="C15" s="270">
        <f t="shared" si="3"/>
        <v>21333.235987</v>
      </c>
      <c r="D15" s="272">
        <v>1667.235987</v>
      </c>
      <c r="E15" s="272">
        <v>19084</v>
      </c>
      <c r="F15" s="272">
        <f>320+262</f>
        <v>582</v>
      </c>
      <c r="G15" s="272"/>
      <c r="H15" s="273">
        <f>20684.649301+30.997</f>
        <v>20715.646301</v>
      </c>
      <c r="I15" s="270">
        <f t="shared" si="2"/>
        <v>617.5896859999993</v>
      </c>
      <c r="J15" s="272">
        <f>241.539686+218+13</f>
        <v>472.53968599999996</v>
      </c>
      <c r="K15" s="272">
        <f>145.047+0.003</f>
        <v>145.04999999999998</v>
      </c>
    </row>
    <row r="16" spans="1:11" ht="18" customHeight="1">
      <c r="A16" s="266">
        <v>7</v>
      </c>
      <c r="B16" s="271" t="s">
        <v>456</v>
      </c>
      <c r="C16" s="270">
        <f t="shared" si="3"/>
        <v>42465.533728</v>
      </c>
      <c r="D16" s="272">
        <f>19.330152+96.203576</f>
        <v>115.533728</v>
      </c>
      <c r="E16" s="272">
        <f>8464+6000</f>
        <v>14464</v>
      </c>
      <c r="F16" s="272">
        <f>1307+26490+89</f>
        <v>27886</v>
      </c>
      <c r="G16" s="272"/>
      <c r="H16" s="273">
        <f>41901.294189+89</f>
        <v>41990.294189</v>
      </c>
      <c r="I16" s="270">
        <f t="shared" si="2"/>
        <v>475.23953900000197</v>
      </c>
      <c r="J16" s="272">
        <v>462.128248</v>
      </c>
      <c r="K16" s="272">
        <f>4.602963+8.508328</f>
        <v>13.111291000000001</v>
      </c>
    </row>
    <row r="17" spans="1:11" ht="18" customHeight="1">
      <c r="A17" s="266">
        <v>8</v>
      </c>
      <c r="B17" s="271" t="s">
        <v>187</v>
      </c>
      <c r="C17" s="270">
        <f t="shared" si="3"/>
        <v>34431</v>
      </c>
      <c r="D17" s="272"/>
      <c r="E17" s="272">
        <v>18971</v>
      </c>
      <c r="F17" s="272">
        <f>9817+243+4500+900</f>
        <v>15460</v>
      </c>
      <c r="G17" s="272"/>
      <c r="H17" s="273">
        <f>28549.698209+236.44+4500+899.6185</f>
        <v>34185.756708999994</v>
      </c>
      <c r="I17" s="270">
        <f t="shared" si="2"/>
        <v>245.24329100000614</v>
      </c>
      <c r="J17" s="272">
        <f>238.301791+6.56</f>
        <v>244.861791</v>
      </c>
      <c r="K17" s="272"/>
    </row>
    <row r="18" spans="1:11" ht="18" customHeight="1">
      <c r="A18" s="266">
        <v>9</v>
      </c>
      <c r="B18" s="271" t="s">
        <v>180</v>
      </c>
      <c r="C18" s="270">
        <f t="shared" si="3"/>
        <v>19290.823151</v>
      </c>
      <c r="D18" s="272">
        <f>298+2214.281541+3447.73051+1083.8111</f>
        <v>7043.823151</v>
      </c>
      <c r="E18" s="272">
        <v>4753</v>
      </c>
      <c r="F18" s="272">
        <f>634+60+300+6500</f>
        <v>7494</v>
      </c>
      <c r="G18" s="272"/>
      <c r="H18" s="273">
        <f>5451.478+60+801.225268+8690.011958+1083.8111</f>
        <v>16086.526326</v>
      </c>
      <c r="I18" s="285">
        <f t="shared" si="2"/>
        <v>3204.2968250000013</v>
      </c>
      <c r="J18" s="272">
        <v>233.522</v>
      </c>
      <c r="K18" s="272">
        <f>1257.718552+1713.056273</f>
        <v>2970.774825</v>
      </c>
    </row>
    <row r="19" spans="1:11" ht="18" customHeight="1">
      <c r="A19" s="266">
        <v>10</v>
      </c>
      <c r="B19" s="271" t="s">
        <v>99</v>
      </c>
      <c r="C19" s="270">
        <f t="shared" si="3"/>
        <v>11152.771478999999</v>
      </c>
      <c r="D19" s="272">
        <f>765.036479+1440.735</f>
        <v>2205.771479</v>
      </c>
      <c r="E19" s="272">
        <v>8858</v>
      </c>
      <c r="F19" s="272">
        <v>89</v>
      </c>
      <c r="G19" s="272"/>
      <c r="H19" s="273">
        <v>10514.776784</v>
      </c>
      <c r="I19" s="270">
        <f t="shared" si="2"/>
        <v>637.9946949999994</v>
      </c>
      <c r="J19" s="272">
        <f>76.871395+176.7125</f>
        <v>253.583895</v>
      </c>
      <c r="K19" s="272">
        <v>384.4108</v>
      </c>
    </row>
    <row r="20" spans="1:11" ht="18" customHeight="1">
      <c r="A20" s="266">
        <v>11</v>
      </c>
      <c r="B20" s="271" t="s">
        <v>184</v>
      </c>
      <c r="C20" s="270">
        <f t="shared" si="3"/>
        <v>12648</v>
      </c>
      <c r="D20" s="272">
        <v>5</v>
      </c>
      <c r="E20" s="272">
        <v>10454</v>
      </c>
      <c r="F20" s="272">
        <f>2163+26</f>
        <v>2189</v>
      </c>
      <c r="G20" s="272"/>
      <c r="H20" s="273">
        <v>9610.791000000001</v>
      </c>
      <c r="I20" s="270">
        <f t="shared" si="2"/>
        <v>3037.208999999999</v>
      </c>
      <c r="J20" s="272">
        <f>576.623+26</f>
        <v>602.623</v>
      </c>
      <c r="K20" s="272">
        <v>2434.586</v>
      </c>
    </row>
    <row r="21" spans="1:11" ht="18" customHeight="1">
      <c r="A21" s="266">
        <v>12</v>
      </c>
      <c r="B21" s="271" t="s">
        <v>181</v>
      </c>
      <c r="C21" s="270">
        <f t="shared" si="3"/>
        <v>11770</v>
      </c>
      <c r="D21" s="272">
        <v>663</v>
      </c>
      <c r="E21" s="272">
        <f>9445+2215</f>
        <v>11660</v>
      </c>
      <c r="F21" s="272">
        <f>50+150+81</f>
        <v>281</v>
      </c>
      <c r="G21" s="272">
        <v>834</v>
      </c>
      <c r="H21" s="273">
        <f>10258+81+50+986.2834</f>
        <v>11375.2834</v>
      </c>
      <c r="I21" s="270">
        <f t="shared" si="2"/>
        <v>394.71659999999974</v>
      </c>
      <c r="J21" s="272"/>
      <c r="K21" s="272"/>
    </row>
    <row r="22" spans="1:11" ht="18" customHeight="1">
      <c r="A22" s="266">
        <v>13</v>
      </c>
      <c r="B22" s="271" t="s">
        <v>183</v>
      </c>
      <c r="C22" s="270">
        <f t="shared" si="3"/>
        <v>18451</v>
      </c>
      <c r="D22" s="272"/>
      <c r="E22" s="272">
        <f>12984+5000</f>
        <v>17984</v>
      </c>
      <c r="F22" s="272">
        <f>215+252</f>
        <v>467</v>
      </c>
      <c r="G22" s="272"/>
      <c r="H22" s="273">
        <f>18074.026+252</f>
        <v>18326.026</v>
      </c>
      <c r="I22" s="270">
        <f t="shared" si="2"/>
        <v>124.97399999999834</v>
      </c>
      <c r="J22" s="272"/>
      <c r="K22" s="272">
        <v>124.97400000000198</v>
      </c>
    </row>
    <row r="23" spans="1:11" ht="18" customHeight="1">
      <c r="A23" s="266">
        <v>14</v>
      </c>
      <c r="B23" s="271" t="s">
        <v>186</v>
      </c>
      <c r="C23" s="270">
        <f t="shared" si="3"/>
        <v>13856</v>
      </c>
      <c r="D23" s="272">
        <v>3000</v>
      </c>
      <c r="E23" s="272">
        <f>7714+2500</f>
        <v>10214</v>
      </c>
      <c r="F23" s="272">
        <f>124+62+136+300+20</f>
        <v>642</v>
      </c>
      <c r="G23" s="272"/>
      <c r="H23" s="273">
        <f>13338+62+455.488</f>
        <v>13855.488</v>
      </c>
      <c r="I23" s="270">
        <f t="shared" si="2"/>
        <v>0.5120000000006257</v>
      </c>
      <c r="J23" s="272"/>
      <c r="K23" s="272"/>
    </row>
    <row r="24" spans="1:11" ht="18" customHeight="1">
      <c r="A24" s="266">
        <v>15</v>
      </c>
      <c r="B24" s="271" t="s">
        <v>108</v>
      </c>
      <c r="C24" s="270">
        <f t="shared" si="3"/>
        <v>19635.884299999998</v>
      </c>
      <c r="D24" s="272">
        <v>4705.8843</v>
      </c>
      <c r="E24" s="272">
        <v>14312</v>
      </c>
      <c r="F24" s="272">
        <f>335+283</f>
        <v>618</v>
      </c>
      <c r="G24" s="272"/>
      <c r="H24" s="273">
        <f>15213.446316+283</f>
        <v>15496.446316</v>
      </c>
      <c r="I24" s="270">
        <f t="shared" si="2"/>
        <v>4139.437983999998</v>
      </c>
      <c r="J24" s="272">
        <v>3507.592984</v>
      </c>
      <c r="K24" s="272">
        <v>631.845</v>
      </c>
    </row>
    <row r="25" spans="1:11" ht="18" customHeight="1">
      <c r="A25" s="266">
        <v>16</v>
      </c>
      <c r="B25" s="271" t="s">
        <v>109</v>
      </c>
      <c r="C25" s="270">
        <f t="shared" si="3"/>
        <v>47951.112794</v>
      </c>
      <c r="D25" s="272">
        <f>1333.571015+14338.48038+4140.136699</f>
        <v>19812.188094</v>
      </c>
      <c r="E25" s="272">
        <v>21807</v>
      </c>
      <c r="F25" s="272">
        <f>1610.9247+647+4000+74</f>
        <v>6331.9247</v>
      </c>
      <c r="G25" s="272"/>
      <c r="H25" s="273">
        <f>22442.060125+24+12244.374998+74+7862.166868</f>
        <v>42646.601991</v>
      </c>
      <c r="I25" s="270">
        <f t="shared" si="2"/>
        <v>5304.510802999997</v>
      </c>
      <c r="J25" s="272">
        <f>838.851615+623</f>
        <v>1461.851615</v>
      </c>
      <c r="K25" s="272">
        <v>1470.583975</v>
      </c>
    </row>
    <row r="26" spans="1:11" ht="18" customHeight="1">
      <c r="A26" s="266">
        <v>17</v>
      </c>
      <c r="B26" s="271" t="s">
        <v>78</v>
      </c>
      <c r="C26" s="270">
        <f t="shared" si="3"/>
        <v>436762.947134</v>
      </c>
      <c r="D26" s="272">
        <f>43.713713+6652.264421+91.969</f>
        <v>6787.947134</v>
      </c>
      <c r="E26" s="272">
        <f>384095+2500</f>
        <v>386595</v>
      </c>
      <c r="F26" s="272">
        <f>30065+13315</f>
        <v>43380</v>
      </c>
      <c r="G26" s="272"/>
      <c r="H26" s="273">
        <f>413833.058733+11972.161338+2418.5718</f>
        <v>428223.79187099996</v>
      </c>
      <c r="I26" s="270">
        <f>C26-H26</f>
        <v>8539.155263000051</v>
      </c>
      <c r="J26" s="272">
        <f>4021.081314+1342.838662</f>
        <v>5363.919976</v>
      </c>
      <c r="K26" s="272">
        <f>3093.807087+81.4282</f>
        <v>3175.235287</v>
      </c>
    </row>
    <row r="27" spans="1:11" ht="18" customHeight="1">
      <c r="A27" s="266">
        <v>18</v>
      </c>
      <c r="B27" s="271" t="s">
        <v>79</v>
      </c>
      <c r="C27" s="270">
        <f t="shared" si="3"/>
        <v>134770.617892</v>
      </c>
      <c r="D27" s="272">
        <v>7406.099892</v>
      </c>
      <c r="E27" s="272">
        <v>99488</v>
      </c>
      <c r="F27" s="272">
        <v>27876.518</v>
      </c>
      <c r="G27" s="272"/>
      <c r="H27" s="273">
        <f>117287.866631</f>
        <v>117287.866631</v>
      </c>
      <c r="I27" s="270">
        <f t="shared" si="2"/>
        <v>17482.751261000012</v>
      </c>
      <c r="J27" s="272">
        <f>8910.923722+156.60106</f>
        <v>9067.524782</v>
      </c>
      <c r="K27" s="272">
        <v>8415.226479</v>
      </c>
    </row>
    <row r="28" spans="1:11" ht="18" customHeight="1">
      <c r="A28" s="266">
        <v>19</v>
      </c>
      <c r="B28" s="271" t="s">
        <v>80</v>
      </c>
      <c r="C28" s="270">
        <f t="shared" si="3"/>
        <v>41992.0198</v>
      </c>
      <c r="D28" s="272">
        <f>3783.7758+2173.759</f>
        <v>5957.534799999999</v>
      </c>
      <c r="E28" s="272">
        <v>28778</v>
      </c>
      <c r="F28" s="272">
        <f>6654.285+128.2+474</f>
        <v>7256.485</v>
      </c>
      <c r="G28" s="272"/>
      <c r="H28" s="273">
        <f>35885.1754+2301.924+474</f>
        <v>38661.0994</v>
      </c>
      <c r="I28" s="270">
        <f t="shared" si="2"/>
        <v>3330.9204000000027</v>
      </c>
      <c r="J28" s="272">
        <v>3284.8903</v>
      </c>
      <c r="K28" s="272">
        <f>45.9951+0.035</f>
        <v>46.0301</v>
      </c>
    </row>
    <row r="29" spans="1:11" ht="18" customHeight="1">
      <c r="A29" s="266">
        <v>20</v>
      </c>
      <c r="B29" s="271" t="s">
        <v>185</v>
      </c>
      <c r="C29" s="270">
        <f t="shared" si="3"/>
        <v>443794.82226299995</v>
      </c>
      <c r="D29" s="272">
        <f>39042.90725+933.839</f>
        <v>39976.74625</v>
      </c>
      <c r="E29" s="272">
        <f>316217</f>
        <v>316217</v>
      </c>
      <c r="F29" s="272">
        <v>87601.076013</v>
      </c>
      <c r="G29" s="272"/>
      <c r="H29" s="273">
        <v>375253.914537</v>
      </c>
      <c r="I29" s="270">
        <f t="shared" si="2"/>
        <v>68540.90772599995</v>
      </c>
      <c r="J29" s="272">
        <v>64492.21208</v>
      </c>
      <c r="K29" s="272">
        <f>4046.830646+1.865</f>
        <v>4048.6956459999997</v>
      </c>
    </row>
    <row r="30" spans="1:11" ht="18" customHeight="1">
      <c r="A30" s="266">
        <v>21</v>
      </c>
      <c r="B30" s="271" t="s">
        <v>89</v>
      </c>
      <c r="C30" s="270">
        <f t="shared" si="3"/>
        <v>25498</v>
      </c>
      <c r="D30" s="272"/>
      <c r="E30" s="272">
        <v>23566</v>
      </c>
      <c r="F30" s="272">
        <f>1777+155</f>
        <v>1932</v>
      </c>
      <c r="G30" s="272"/>
      <c r="H30" s="273">
        <f>25343+155</f>
        <v>25498</v>
      </c>
      <c r="I30" s="270">
        <f t="shared" si="2"/>
        <v>0</v>
      </c>
      <c r="J30" s="272"/>
      <c r="K30" s="272"/>
    </row>
    <row r="31" spans="1:11" ht="18" customHeight="1">
      <c r="A31" s="266">
        <v>22</v>
      </c>
      <c r="B31" s="271" t="s">
        <v>111</v>
      </c>
      <c r="C31" s="270">
        <f t="shared" si="3"/>
        <v>8129.322</v>
      </c>
      <c r="D31" s="272">
        <v>306.322</v>
      </c>
      <c r="E31" s="272">
        <f>4820+1610</f>
        <v>6430</v>
      </c>
      <c r="F31" s="272">
        <f>1315+78</f>
        <v>1393</v>
      </c>
      <c r="G31" s="272"/>
      <c r="H31" s="273">
        <v>6955.6566</v>
      </c>
      <c r="I31" s="270">
        <f>C31-H31</f>
        <v>1173.6653999999999</v>
      </c>
      <c r="J31" s="272"/>
      <c r="K31" s="272">
        <f>280.3414+893.324</f>
        <v>1173.6653999999999</v>
      </c>
    </row>
    <row r="32" spans="1:11" ht="18" customHeight="1">
      <c r="A32" s="266">
        <v>23</v>
      </c>
      <c r="B32" s="271" t="s">
        <v>188</v>
      </c>
      <c r="C32" s="270">
        <f t="shared" si="3"/>
        <v>7182</v>
      </c>
      <c r="D32" s="272"/>
      <c r="E32" s="272">
        <f>5859+950</f>
        <v>6809</v>
      </c>
      <c r="F32" s="272">
        <f>213+160</f>
        <v>373</v>
      </c>
      <c r="G32" s="272"/>
      <c r="H32" s="273">
        <f>6099.521+160</f>
        <v>6259.521</v>
      </c>
      <c r="I32" s="270">
        <f t="shared" si="2"/>
        <v>922.4790000000003</v>
      </c>
      <c r="J32" s="270">
        <v>922.4790000000003</v>
      </c>
      <c r="K32" s="272"/>
    </row>
    <row r="33" spans="1:11" ht="18" customHeight="1">
      <c r="A33" s="266">
        <v>24</v>
      </c>
      <c r="B33" s="271" t="s">
        <v>88</v>
      </c>
      <c r="C33" s="270">
        <f t="shared" si="3"/>
        <v>24442.75825</v>
      </c>
      <c r="D33" s="272">
        <f>29.11025+101.148</f>
        <v>130.25825</v>
      </c>
      <c r="E33" s="272">
        <f>19022+2500</f>
        <v>21522</v>
      </c>
      <c r="F33" s="272">
        <f>2607.5+183</f>
        <v>2790.5</v>
      </c>
      <c r="G33" s="272"/>
      <c r="H33" s="273">
        <f>23869.151773</f>
        <v>23869.151773</v>
      </c>
      <c r="I33" s="270">
        <f t="shared" si="2"/>
        <v>573.6064769999975</v>
      </c>
      <c r="J33" s="272">
        <f>42.41+183</f>
        <v>225.41</v>
      </c>
      <c r="K33" s="272">
        <f>238.535477+109.661</f>
        <v>348.19647699999996</v>
      </c>
    </row>
    <row r="34" spans="1:11" ht="18" customHeight="1">
      <c r="A34" s="266">
        <v>25</v>
      </c>
      <c r="B34" s="271" t="s">
        <v>197</v>
      </c>
      <c r="C34" s="270">
        <f t="shared" si="3"/>
        <v>21245</v>
      </c>
      <c r="D34" s="272">
        <v>2000</v>
      </c>
      <c r="E34" s="272">
        <f>13563</f>
        <v>13563</v>
      </c>
      <c r="F34" s="272">
        <f>2548+134+3000</f>
        <v>5682</v>
      </c>
      <c r="G34" s="272"/>
      <c r="H34" s="273">
        <f>16111+45.7772+2000</f>
        <v>18156.7772</v>
      </c>
      <c r="I34" s="270">
        <f t="shared" si="2"/>
        <v>3088.2227999999996</v>
      </c>
      <c r="J34" s="272">
        <v>3088.2228</v>
      </c>
      <c r="K34" s="272"/>
    </row>
    <row r="35" spans="1:11" ht="18" customHeight="1">
      <c r="A35" s="266">
        <v>26</v>
      </c>
      <c r="B35" s="271" t="s">
        <v>96</v>
      </c>
      <c r="C35" s="270">
        <f t="shared" si="3"/>
        <v>9239.82</v>
      </c>
      <c r="D35" s="272">
        <v>83.82</v>
      </c>
      <c r="E35" s="272">
        <v>8961</v>
      </c>
      <c r="F35" s="272">
        <v>195</v>
      </c>
      <c r="G35" s="272"/>
      <c r="H35" s="273">
        <v>9076.627468</v>
      </c>
      <c r="I35" s="270">
        <f t="shared" si="2"/>
        <v>163.19253199999912</v>
      </c>
      <c r="J35" s="272">
        <v>6.9704</v>
      </c>
      <c r="K35" s="272">
        <v>156.222132</v>
      </c>
    </row>
    <row r="36" spans="1:11" ht="18" customHeight="1">
      <c r="A36" s="266">
        <v>27</v>
      </c>
      <c r="B36" s="271" t="s">
        <v>90</v>
      </c>
      <c r="C36" s="270">
        <f t="shared" si="3"/>
        <v>1022</v>
      </c>
      <c r="D36" s="272"/>
      <c r="E36" s="272">
        <v>996</v>
      </c>
      <c r="F36" s="272">
        <f>14+12</f>
        <v>26</v>
      </c>
      <c r="G36" s="272"/>
      <c r="H36" s="273">
        <f>927.406883+12</f>
        <v>939.406883</v>
      </c>
      <c r="I36" s="270">
        <f t="shared" si="2"/>
        <v>82.593117</v>
      </c>
      <c r="J36" s="272"/>
      <c r="K36" s="272">
        <v>82.593117</v>
      </c>
    </row>
    <row r="37" spans="1:11" ht="18" customHeight="1">
      <c r="A37" s="266">
        <v>28</v>
      </c>
      <c r="B37" s="271" t="s">
        <v>77</v>
      </c>
      <c r="C37" s="270">
        <f t="shared" si="3"/>
        <v>5544</v>
      </c>
      <c r="D37" s="272"/>
      <c r="E37" s="272">
        <v>4441</v>
      </c>
      <c r="F37" s="272">
        <f>975+78+50</f>
        <v>1103</v>
      </c>
      <c r="G37" s="272"/>
      <c r="H37" s="273">
        <f>5416+78+50</f>
        <v>5544</v>
      </c>
      <c r="I37" s="270">
        <f t="shared" si="2"/>
        <v>0</v>
      </c>
      <c r="J37" s="272"/>
      <c r="K37" s="272"/>
    </row>
    <row r="38" spans="1:11" ht="18" customHeight="1">
      <c r="A38" s="266">
        <v>29</v>
      </c>
      <c r="B38" s="271" t="s">
        <v>420</v>
      </c>
      <c r="C38" s="270">
        <f t="shared" si="3"/>
        <v>4613.654</v>
      </c>
      <c r="D38" s="272">
        <f>14.784+0.87</f>
        <v>15.654</v>
      </c>
      <c r="E38" s="272">
        <v>4287</v>
      </c>
      <c r="F38" s="272">
        <f>226+85</f>
        <v>311</v>
      </c>
      <c r="G38" s="272"/>
      <c r="H38" s="273">
        <v>4612.784</v>
      </c>
      <c r="I38" s="270">
        <f t="shared" si="2"/>
        <v>0.8700000000008004</v>
      </c>
      <c r="J38" s="272">
        <v>0.8700000000008004</v>
      </c>
      <c r="K38" s="272"/>
    </row>
    <row r="39" spans="1:11" ht="18" customHeight="1">
      <c r="A39" s="266">
        <v>30</v>
      </c>
      <c r="B39" s="271" t="s">
        <v>191</v>
      </c>
      <c r="C39" s="270">
        <f t="shared" si="3"/>
        <v>5570.7127</v>
      </c>
      <c r="D39" s="272">
        <v>11.7127</v>
      </c>
      <c r="E39" s="272">
        <v>4725</v>
      </c>
      <c r="F39" s="272">
        <v>834</v>
      </c>
      <c r="G39" s="272"/>
      <c r="H39" s="273">
        <f>5501.7127+69</f>
        <v>5570.7127</v>
      </c>
      <c r="I39" s="270">
        <f t="shared" si="2"/>
        <v>0</v>
      </c>
      <c r="J39" s="272"/>
      <c r="K39" s="272"/>
    </row>
    <row r="40" spans="1:11" ht="18" customHeight="1">
      <c r="A40" s="266">
        <v>31</v>
      </c>
      <c r="B40" s="271" t="s">
        <v>192</v>
      </c>
      <c r="C40" s="270">
        <f t="shared" si="3"/>
        <v>4003</v>
      </c>
      <c r="D40" s="272"/>
      <c r="E40" s="272">
        <v>2695</v>
      </c>
      <c r="F40" s="272">
        <f>1265+43</f>
        <v>1308</v>
      </c>
      <c r="G40" s="272"/>
      <c r="H40" s="273">
        <f>3943.911+42.04924</f>
        <v>3985.96024</v>
      </c>
      <c r="I40" s="270">
        <f t="shared" si="2"/>
        <v>17.039760000000115</v>
      </c>
      <c r="J40" s="272"/>
      <c r="K40" s="272">
        <f>16.089+0.95076</f>
        <v>17.039759999999998</v>
      </c>
    </row>
    <row r="41" spans="1:11" ht="18" customHeight="1">
      <c r="A41" s="266">
        <v>32</v>
      </c>
      <c r="B41" s="271" t="s">
        <v>98</v>
      </c>
      <c r="C41" s="270">
        <f t="shared" si="3"/>
        <v>7861</v>
      </c>
      <c r="D41" s="272"/>
      <c r="E41" s="272">
        <v>7488</v>
      </c>
      <c r="F41" s="272">
        <f>271+102</f>
        <v>373</v>
      </c>
      <c r="G41" s="272"/>
      <c r="H41" s="273">
        <f>7759+98.674803</f>
        <v>7857.674803</v>
      </c>
      <c r="I41" s="270">
        <f t="shared" si="2"/>
        <v>3.3251970000001165</v>
      </c>
      <c r="J41" s="272">
        <v>3.325197</v>
      </c>
      <c r="K41" s="272"/>
    </row>
    <row r="42" spans="1:11" ht="18" customHeight="1">
      <c r="A42" s="266">
        <v>33</v>
      </c>
      <c r="B42" s="271" t="s">
        <v>196</v>
      </c>
      <c r="C42" s="270">
        <f t="shared" si="3"/>
        <v>671.0294</v>
      </c>
      <c r="D42" s="272">
        <v>171.0294</v>
      </c>
      <c r="E42" s="272">
        <v>500</v>
      </c>
      <c r="F42" s="272"/>
      <c r="G42" s="272"/>
      <c r="H42" s="273">
        <v>409.677</v>
      </c>
      <c r="I42" s="270">
        <f t="shared" si="2"/>
        <v>261.3524</v>
      </c>
      <c r="J42" s="272"/>
      <c r="K42" s="272">
        <v>261.3524</v>
      </c>
    </row>
    <row r="43" spans="1:11" ht="18" customHeight="1">
      <c r="A43" s="266">
        <v>34</v>
      </c>
      <c r="B43" s="271" t="s">
        <v>106</v>
      </c>
      <c r="C43" s="270">
        <f t="shared" si="3"/>
        <v>79</v>
      </c>
      <c r="D43" s="272"/>
      <c r="E43" s="272">
        <v>77</v>
      </c>
      <c r="F43" s="272">
        <v>2</v>
      </c>
      <c r="G43" s="272"/>
      <c r="H43" s="273">
        <v>79</v>
      </c>
      <c r="I43" s="270">
        <f t="shared" si="2"/>
        <v>0</v>
      </c>
      <c r="J43" s="272"/>
      <c r="K43" s="272"/>
    </row>
    <row r="44" spans="1:11" ht="18" customHeight="1">
      <c r="A44" s="266">
        <v>35</v>
      </c>
      <c r="B44" s="271" t="s">
        <v>107</v>
      </c>
      <c r="C44" s="270">
        <f t="shared" si="3"/>
        <v>210</v>
      </c>
      <c r="D44" s="272"/>
      <c r="E44" s="272">
        <v>186</v>
      </c>
      <c r="F44" s="272">
        <v>24</v>
      </c>
      <c r="G44" s="272"/>
      <c r="H44" s="273">
        <f>190+20</f>
        <v>210</v>
      </c>
      <c r="I44" s="270">
        <f t="shared" si="2"/>
        <v>0</v>
      </c>
      <c r="J44" s="272"/>
      <c r="K44" s="272"/>
    </row>
    <row r="45" spans="1:11" ht="18" customHeight="1">
      <c r="A45" s="266">
        <v>36</v>
      </c>
      <c r="B45" s="271" t="s">
        <v>101</v>
      </c>
      <c r="C45" s="270">
        <f t="shared" si="3"/>
        <v>100</v>
      </c>
      <c r="D45" s="272"/>
      <c r="E45" s="272">
        <v>100</v>
      </c>
      <c r="F45" s="272"/>
      <c r="G45" s="272"/>
      <c r="H45" s="273">
        <v>100</v>
      </c>
      <c r="I45" s="270">
        <f t="shared" si="2"/>
        <v>0</v>
      </c>
      <c r="J45" s="272"/>
      <c r="K45" s="272"/>
    </row>
    <row r="46" spans="1:11" ht="18" customHeight="1">
      <c r="A46" s="266">
        <v>37</v>
      </c>
      <c r="B46" s="271" t="s">
        <v>102</v>
      </c>
      <c r="C46" s="270">
        <f t="shared" si="3"/>
        <v>200</v>
      </c>
      <c r="D46" s="272"/>
      <c r="E46" s="272">
        <v>200</v>
      </c>
      <c r="F46" s="272"/>
      <c r="G46" s="272"/>
      <c r="H46" s="273">
        <v>200</v>
      </c>
      <c r="I46" s="270">
        <f t="shared" si="2"/>
        <v>0</v>
      </c>
      <c r="J46" s="272"/>
      <c r="K46" s="272"/>
    </row>
    <row r="47" spans="1:11" ht="18" customHeight="1">
      <c r="A47" s="266">
        <v>38</v>
      </c>
      <c r="B47" s="271" t="s">
        <v>103</v>
      </c>
      <c r="C47" s="270">
        <f t="shared" si="3"/>
        <v>100</v>
      </c>
      <c r="D47" s="272"/>
      <c r="E47" s="272">
        <v>100</v>
      </c>
      <c r="F47" s="272"/>
      <c r="G47" s="272"/>
      <c r="H47" s="273">
        <v>100</v>
      </c>
      <c r="I47" s="270">
        <f t="shared" si="2"/>
        <v>0</v>
      </c>
      <c r="J47" s="272"/>
      <c r="K47" s="272"/>
    </row>
    <row r="48" spans="1:11" ht="18" customHeight="1">
      <c r="A48" s="266">
        <v>39</v>
      </c>
      <c r="B48" s="271" t="s">
        <v>104</v>
      </c>
      <c r="C48" s="270">
        <f t="shared" si="3"/>
        <v>100</v>
      </c>
      <c r="D48" s="272"/>
      <c r="E48" s="272">
        <v>100</v>
      </c>
      <c r="F48" s="272"/>
      <c r="G48" s="272"/>
      <c r="H48" s="273">
        <v>100</v>
      </c>
      <c r="I48" s="270">
        <f t="shared" si="2"/>
        <v>0</v>
      </c>
      <c r="J48" s="272"/>
      <c r="K48" s="272"/>
    </row>
    <row r="49" spans="1:11" ht="18" customHeight="1">
      <c r="A49" s="266">
        <v>40</v>
      </c>
      <c r="B49" s="271" t="s">
        <v>199</v>
      </c>
      <c r="C49" s="270">
        <f t="shared" si="3"/>
        <v>21547</v>
      </c>
      <c r="D49" s="272"/>
      <c r="E49" s="272">
        <v>10970</v>
      </c>
      <c r="F49" s="272">
        <f>4700+2877+3000</f>
        <v>10577</v>
      </c>
      <c r="G49" s="272"/>
      <c r="H49" s="273">
        <v>18059.959962</v>
      </c>
      <c r="I49" s="270">
        <f t="shared" si="2"/>
        <v>3487.040037999999</v>
      </c>
      <c r="J49" s="272">
        <v>1370.4840379999987</v>
      </c>
      <c r="K49" s="272">
        <v>2116.556</v>
      </c>
    </row>
    <row r="50" spans="1:11" ht="18" customHeight="1">
      <c r="A50" s="266">
        <v>41</v>
      </c>
      <c r="B50" s="271" t="s">
        <v>91</v>
      </c>
      <c r="C50" s="270">
        <f t="shared" si="3"/>
        <v>64038.55</v>
      </c>
      <c r="D50" s="272">
        <v>829.05</v>
      </c>
      <c r="E50" s="272">
        <v>36780</v>
      </c>
      <c r="F50" s="272">
        <f>3468.5+22961</f>
        <v>26429.5</v>
      </c>
      <c r="G50" s="272"/>
      <c r="H50" s="273">
        <v>61594.187</v>
      </c>
      <c r="I50" s="270">
        <f t="shared" si="2"/>
        <v>2444.363000000005</v>
      </c>
      <c r="J50" s="272"/>
      <c r="K50" s="272">
        <v>2444.363</v>
      </c>
    </row>
    <row r="51" spans="1:11" ht="18" customHeight="1">
      <c r="A51" s="266">
        <v>42</v>
      </c>
      <c r="B51" s="271" t="s">
        <v>263</v>
      </c>
      <c r="C51" s="270">
        <f t="shared" si="3"/>
        <v>14627.588</v>
      </c>
      <c r="D51" s="272">
        <f>2168.388+394.2</f>
        <v>2562.5879999999997</v>
      </c>
      <c r="E51" s="272">
        <v>11825</v>
      </c>
      <c r="F51" s="272">
        <v>865</v>
      </c>
      <c r="G51" s="272">
        <v>625</v>
      </c>
      <c r="H51" s="273">
        <v>13764.096</v>
      </c>
      <c r="I51" s="270">
        <f t="shared" si="2"/>
        <v>863.4920000000002</v>
      </c>
      <c r="J51" s="272">
        <v>499.29199999999946</v>
      </c>
      <c r="K51" s="272">
        <v>394.2</v>
      </c>
    </row>
    <row r="52" spans="1:11" ht="18" customHeight="1">
      <c r="A52" s="266">
        <v>43</v>
      </c>
      <c r="B52" s="271" t="s">
        <v>110</v>
      </c>
      <c r="C52" s="270">
        <f t="shared" si="3"/>
        <v>310913.43</v>
      </c>
      <c r="D52" s="272"/>
      <c r="E52" s="272"/>
      <c r="F52" s="272">
        <v>310913.43</v>
      </c>
      <c r="G52" s="272"/>
      <c r="H52" s="273">
        <v>310913.43</v>
      </c>
      <c r="I52" s="270">
        <f t="shared" si="2"/>
        <v>0</v>
      </c>
      <c r="J52" s="272"/>
      <c r="K52" s="272"/>
    </row>
    <row r="53" spans="1:11" ht="18" customHeight="1">
      <c r="A53" s="266">
        <v>44</v>
      </c>
      <c r="B53" s="286" t="s">
        <v>463</v>
      </c>
      <c r="C53" s="270">
        <f t="shared" si="3"/>
        <v>19374</v>
      </c>
      <c r="D53" s="272">
        <v>25</v>
      </c>
      <c r="E53" s="272">
        <v>15649</v>
      </c>
      <c r="F53" s="272">
        <v>3700</v>
      </c>
      <c r="G53" s="272"/>
      <c r="H53" s="273">
        <f>15649+3717.3895</f>
        <v>19366.3895</v>
      </c>
      <c r="I53" s="270">
        <f t="shared" si="2"/>
        <v>7.610499999998865</v>
      </c>
      <c r="J53" s="272"/>
      <c r="K53" s="272">
        <v>7.6105</v>
      </c>
    </row>
    <row r="54" spans="1:11" ht="18" customHeight="1">
      <c r="A54" s="266">
        <v>45</v>
      </c>
      <c r="B54" s="286" t="s">
        <v>464</v>
      </c>
      <c r="C54" s="270">
        <f t="shared" si="3"/>
        <v>2566</v>
      </c>
      <c r="D54" s="272"/>
      <c r="E54" s="272">
        <v>1566</v>
      </c>
      <c r="F54" s="272">
        <v>1000</v>
      </c>
      <c r="G54" s="272"/>
      <c r="H54" s="273">
        <f>1566+372.56</f>
        <v>1938.56</v>
      </c>
      <c r="I54" s="270">
        <f t="shared" si="2"/>
        <v>627.44</v>
      </c>
      <c r="J54" s="272">
        <v>300</v>
      </c>
      <c r="K54" s="272">
        <v>327.44</v>
      </c>
    </row>
    <row r="55" spans="1:11" ht="18" customHeight="1">
      <c r="A55" s="266">
        <v>46</v>
      </c>
      <c r="B55" s="286" t="s">
        <v>198</v>
      </c>
      <c r="C55" s="270">
        <f t="shared" si="3"/>
        <v>6648.3</v>
      </c>
      <c r="D55" s="272">
        <v>841.3</v>
      </c>
      <c r="E55" s="272"/>
      <c r="F55" s="272">
        <v>5807</v>
      </c>
      <c r="G55" s="272"/>
      <c r="H55" s="273">
        <v>732.697</v>
      </c>
      <c r="I55" s="270">
        <f t="shared" si="2"/>
        <v>5915.603</v>
      </c>
      <c r="J55" s="272">
        <v>791.44</v>
      </c>
      <c r="K55" s="272">
        <v>5124.163</v>
      </c>
    </row>
    <row r="56" spans="1:11" ht="18" customHeight="1">
      <c r="A56" s="266">
        <v>47</v>
      </c>
      <c r="B56" s="286" t="s">
        <v>641</v>
      </c>
      <c r="C56" s="270">
        <f t="shared" si="3"/>
        <v>3941.905677</v>
      </c>
      <c r="D56" s="272"/>
      <c r="E56" s="272"/>
      <c r="F56" s="272">
        <v>3941.905677</v>
      </c>
      <c r="G56" s="272"/>
      <c r="H56" s="273">
        <v>3941.905677</v>
      </c>
      <c r="I56" s="270">
        <f t="shared" si="2"/>
        <v>0</v>
      </c>
      <c r="J56" s="272"/>
      <c r="K56" s="272"/>
    </row>
    <row r="57" spans="1:11" ht="18" customHeight="1">
      <c r="A57" s="266">
        <v>48</v>
      </c>
      <c r="B57" s="286" t="s">
        <v>640</v>
      </c>
      <c r="C57" s="270">
        <f t="shared" si="3"/>
        <v>3943.447218</v>
      </c>
      <c r="D57" s="272">
        <v>3943.447218</v>
      </c>
      <c r="E57" s="272"/>
      <c r="F57" s="272"/>
      <c r="G57" s="272"/>
      <c r="H57" s="273">
        <v>3943.447218</v>
      </c>
      <c r="I57" s="270">
        <f t="shared" si="2"/>
        <v>0</v>
      </c>
      <c r="J57" s="272"/>
      <c r="K57" s="272"/>
    </row>
    <row r="58" spans="1:11" ht="18" customHeight="1">
      <c r="A58" s="281" t="s">
        <v>50</v>
      </c>
      <c r="B58" s="287" t="s">
        <v>260</v>
      </c>
      <c r="C58" s="264">
        <f>SUM(C59:C71)</f>
        <v>15165.915659</v>
      </c>
      <c r="D58" s="264">
        <f aca="true" t="shared" si="4" ref="D58:K58">SUM(D59:D71)</f>
        <v>59.915659</v>
      </c>
      <c r="E58" s="264">
        <f t="shared" si="4"/>
        <v>11221</v>
      </c>
      <c r="F58" s="264">
        <f t="shared" si="4"/>
        <v>3885</v>
      </c>
      <c r="G58" s="264">
        <f t="shared" si="4"/>
        <v>0</v>
      </c>
      <c r="H58" s="263">
        <f t="shared" si="4"/>
        <v>15081.148357</v>
      </c>
      <c r="I58" s="264">
        <f t="shared" si="4"/>
        <v>84.76730200000006</v>
      </c>
      <c r="J58" s="264">
        <f t="shared" si="4"/>
        <v>34.1815</v>
      </c>
      <c r="K58" s="264">
        <f t="shared" si="4"/>
        <v>50.58580200000006</v>
      </c>
    </row>
    <row r="59" spans="1:11" ht="18" customHeight="1">
      <c r="A59" s="266">
        <v>1</v>
      </c>
      <c r="B59" s="271" t="s">
        <v>95</v>
      </c>
      <c r="C59" s="270">
        <f aca="true" t="shared" si="5" ref="C59:C71">SUM(D59:G59)</f>
        <v>3149</v>
      </c>
      <c r="D59" s="272"/>
      <c r="E59" s="272">
        <v>2806</v>
      </c>
      <c r="F59" s="272">
        <f>177+166</f>
        <v>343</v>
      </c>
      <c r="G59" s="272"/>
      <c r="H59" s="273">
        <f>2983+166</f>
        <v>3149</v>
      </c>
      <c r="I59" s="270">
        <f aca="true" t="shared" si="6" ref="I59:I71">C59-H59</f>
        <v>0</v>
      </c>
      <c r="J59" s="272"/>
      <c r="K59" s="272"/>
    </row>
    <row r="60" spans="1:11" ht="18" customHeight="1">
      <c r="A60" s="266">
        <v>2</v>
      </c>
      <c r="B60" s="271" t="s">
        <v>100</v>
      </c>
      <c r="C60" s="270">
        <f t="shared" si="5"/>
        <v>2685</v>
      </c>
      <c r="D60" s="272"/>
      <c r="E60" s="272">
        <v>1980</v>
      </c>
      <c r="F60" s="272">
        <f>186+34+485</f>
        <v>705</v>
      </c>
      <c r="G60" s="272"/>
      <c r="H60" s="273">
        <f>2166+34+485</f>
        <v>2685</v>
      </c>
      <c r="I60" s="270">
        <f t="shared" si="6"/>
        <v>0</v>
      </c>
      <c r="J60" s="272"/>
      <c r="K60" s="272"/>
    </row>
    <row r="61" spans="1:11" ht="18" customHeight="1">
      <c r="A61" s="266">
        <v>3</v>
      </c>
      <c r="B61" s="271" t="s">
        <v>195</v>
      </c>
      <c r="C61" s="270">
        <f t="shared" si="5"/>
        <v>308</v>
      </c>
      <c r="D61" s="272"/>
      <c r="E61" s="272">
        <v>300</v>
      </c>
      <c r="F61" s="272">
        <f>4+4</f>
        <v>8</v>
      </c>
      <c r="G61" s="272"/>
      <c r="H61" s="273">
        <f>304+4</f>
        <v>308</v>
      </c>
      <c r="I61" s="270">
        <f t="shared" si="6"/>
        <v>0</v>
      </c>
      <c r="J61" s="272"/>
      <c r="K61" s="272"/>
    </row>
    <row r="62" spans="1:11" ht="18" customHeight="1">
      <c r="A62" s="266">
        <v>4</v>
      </c>
      <c r="B62" s="271" t="s">
        <v>93</v>
      </c>
      <c r="C62" s="270">
        <f t="shared" si="5"/>
        <v>393</v>
      </c>
      <c r="D62" s="272"/>
      <c r="E62" s="272">
        <v>380</v>
      </c>
      <c r="F62" s="272">
        <f>5+8</f>
        <v>13</v>
      </c>
      <c r="G62" s="272"/>
      <c r="H62" s="273">
        <f>385+8</f>
        <v>393</v>
      </c>
      <c r="I62" s="270">
        <f t="shared" si="6"/>
        <v>0</v>
      </c>
      <c r="J62" s="272"/>
      <c r="K62" s="272"/>
    </row>
    <row r="63" spans="1:11" ht="18" customHeight="1">
      <c r="A63" s="266">
        <v>5</v>
      </c>
      <c r="B63" s="271" t="s">
        <v>94</v>
      </c>
      <c r="C63" s="270">
        <f t="shared" si="5"/>
        <v>316</v>
      </c>
      <c r="D63" s="272"/>
      <c r="E63" s="272">
        <v>306</v>
      </c>
      <c r="F63" s="272">
        <f>5+5</f>
        <v>10</v>
      </c>
      <c r="G63" s="272"/>
      <c r="H63" s="273">
        <f>311+5</f>
        <v>316</v>
      </c>
      <c r="I63" s="270">
        <f t="shared" si="6"/>
        <v>0</v>
      </c>
      <c r="J63" s="272"/>
      <c r="K63" s="272"/>
    </row>
    <row r="64" spans="1:11" ht="18" customHeight="1">
      <c r="A64" s="266">
        <v>6</v>
      </c>
      <c r="B64" s="286" t="s">
        <v>428</v>
      </c>
      <c r="C64" s="270">
        <f t="shared" si="5"/>
        <v>2938</v>
      </c>
      <c r="D64" s="272"/>
      <c r="E64" s="272">
        <v>790</v>
      </c>
      <c r="F64" s="272">
        <f>141+7+2000</f>
        <v>2148</v>
      </c>
      <c r="G64" s="272"/>
      <c r="H64" s="273">
        <f>2929.664198+7</f>
        <v>2936.664198</v>
      </c>
      <c r="I64" s="270">
        <f t="shared" si="6"/>
        <v>1.3358020000000579</v>
      </c>
      <c r="J64" s="272"/>
      <c r="K64" s="272">
        <v>1.3358020000000579</v>
      </c>
    </row>
    <row r="65" spans="1:11" ht="18" customHeight="1">
      <c r="A65" s="266">
        <v>7</v>
      </c>
      <c r="B65" s="271" t="s">
        <v>193</v>
      </c>
      <c r="C65" s="270">
        <f t="shared" si="5"/>
        <v>1149</v>
      </c>
      <c r="D65" s="272"/>
      <c r="E65" s="272">
        <v>1112</v>
      </c>
      <c r="F65" s="272">
        <f>22+15</f>
        <v>37</v>
      </c>
      <c r="G65" s="272"/>
      <c r="H65" s="273">
        <v>1084.75</v>
      </c>
      <c r="I65" s="270">
        <f t="shared" si="6"/>
        <v>64.25</v>
      </c>
      <c r="J65" s="272">
        <v>15</v>
      </c>
      <c r="K65" s="272">
        <v>49.25</v>
      </c>
    </row>
    <row r="66" spans="1:11" ht="18" customHeight="1">
      <c r="A66" s="266">
        <v>8</v>
      </c>
      <c r="B66" s="271" t="s">
        <v>194</v>
      </c>
      <c r="C66" s="270">
        <f t="shared" si="5"/>
        <v>325.915659</v>
      </c>
      <c r="D66" s="272">
        <v>59.915659</v>
      </c>
      <c r="E66" s="272">
        <v>260</v>
      </c>
      <c r="F66" s="272">
        <v>6</v>
      </c>
      <c r="G66" s="272"/>
      <c r="H66" s="273">
        <v>325.915659</v>
      </c>
      <c r="I66" s="270">
        <f t="shared" si="6"/>
        <v>0</v>
      </c>
      <c r="J66" s="272"/>
      <c r="K66" s="272"/>
    </row>
    <row r="67" spans="1:11" ht="18" customHeight="1">
      <c r="A67" s="266">
        <v>9</v>
      </c>
      <c r="B67" s="271" t="s">
        <v>262</v>
      </c>
      <c r="C67" s="270">
        <f t="shared" si="5"/>
        <v>1042</v>
      </c>
      <c r="D67" s="272"/>
      <c r="E67" s="272">
        <v>890</v>
      </c>
      <c r="F67" s="272">
        <f>45+12+95</f>
        <v>152</v>
      </c>
      <c r="G67" s="272"/>
      <c r="H67" s="273">
        <f>935+12+95</f>
        <v>1042</v>
      </c>
      <c r="I67" s="270">
        <f t="shared" si="6"/>
        <v>0</v>
      </c>
      <c r="J67" s="272"/>
      <c r="K67" s="272"/>
    </row>
    <row r="68" spans="1:11" ht="18" customHeight="1">
      <c r="A68" s="266">
        <v>10</v>
      </c>
      <c r="B68" s="271" t="s">
        <v>105</v>
      </c>
      <c r="C68" s="270">
        <f t="shared" si="5"/>
        <v>200</v>
      </c>
      <c r="D68" s="272"/>
      <c r="E68" s="272">
        <v>198</v>
      </c>
      <c r="F68" s="272">
        <v>2</v>
      </c>
      <c r="G68" s="272"/>
      <c r="H68" s="273">
        <v>184.732</v>
      </c>
      <c r="I68" s="270">
        <f t="shared" si="6"/>
        <v>15.268</v>
      </c>
      <c r="J68" s="272">
        <v>15.268</v>
      </c>
      <c r="K68" s="272"/>
    </row>
    <row r="69" spans="1:11" ht="18" customHeight="1">
      <c r="A69" s="266">
        <v>11</v>
      </c>
      <c r="B69" s="271" t="s">
        <v>92</v>
      </c>
      <c r="C69" s="270">
        <f t="shared" si="5"/>
        <v>350</v>
      </c>
      <c r="D69" s="272"/>
      <c r="E69" s="272">
        <v>326</v>
      </c>
      <c r="F69" s="272">
        <f>5+19</f>
        <v>24</v>
      </c>
      <c r="G69" s="272"/>
      <c r="H69" s="273">
        <f>327.0865+19</f>
        <v>346.0865</v>
      </c>
      <c r="I69" s="270">
        <f t="shared" si="6"/>
        <v>3.913499999999999</v>
      </c>
      <c r="J69" s="272">
        <v>3.9135</v>
      </c>
      <c r="K69" s="272"/>
    </row>
    <row r="70" spans="1:11" ht="18" customHeight="1">
      <c r="A70" s="266">
        <v>12</v>
      </c>
      <c r="B70" s="271" t="s">
        <v>189</v>
      </c>
      <c r="C70" s="270">
        <f t="shared" si="5"/>
        <v>1956</v>
      </c>
      <c r="D70" s="272"/>
      <c r="E70" s="272">
        <v>1873</v>
      </c>
      <c r="F70" s="272">
        <f>47+36</f>
        <v>83</v>
      </c>
      <c r="G70" s="272"/>
      <c r="H70" s="273">
        <f>1920+36</f>
        <v>1956</v>
      </c>
      <c r="I70" s="270">
        <f t="shared" si="6"/>
        <v>0</v>
      </c>
      <c r="J70" s="272"/>
      <c r="K70" s="272"/>
    </row>
    <row r="71" spans="1:11" ht="18" customHeight="1">
      <c r="A71" s="266">
        <v>13</v>
      </c>
      <c r="B71" s="271" t="s">
        <v>97</v>
      </c>
      <c r="C71" s="270">
        <f t="shared" si="5"/>
        <v>354</v>
      </c>
      <c r="D71" s="272"/>
      <c r="E71" s="272"/>
      <c r="F71" s="272">
        <v>354</v>
      </c>
      <c r="G71" s="272"/>
      <c r="H71" s="273">
        <v>354</v>
      </c>
      <c r="I71" s="270">
        <f t="shared" si="6"/>
        <v>0</v>
      </c>
      <c r="J71" s="272"/>
      <c r="K71" s="272"/>
    </row>
    <row r="72" spans="1:11" ht="18" customHeight="1">
      <c r="A72" s="288"/>
      <c r="B72" s="288"/>
      <c r="C72" s="289"/>
      <c r="D72" s="289"/>
      <c r="E72" s="289"/>
      <c r="F72" s="289"/>
      <c r="G72" s="289"/>
      <c r="H72" s="290"/>
      <c r="I72" s="289"/>
      <c r="J72" s="289"/>
      <c r="K72" s="289"/>
    </row>
  </sheetData>
  <sheetProtection/>
  <mergeCells count="9">
    <mergeCell ref="A2:K2"/>
    <mergeCell ref="A5:A6"/>
    <mergeCell ref="B5:B6"/>
    <mergeCell ref="C5:C6"/>
    <mergeCell ref="D5:G5"/>
    <mergeCell ref="H5:H6"/>
    <mergeCell ref="I5:I6"/>
    <mergeCell ref="J5:K5"/>
    <mergeCell ref="A3:K3"/>
  </mergeCells>
  <printOptions/>
  <pageMargins left="0.31496062992126" right="0.31496062992126" top="0.433070866141732" bottom="0.2" header="0.433070866141732" footer="0.2"/>
  <pageSetup horizontalDpi="300" verticalDpi="300" orientation="landscape" paperSize="9" scale="85" r:id="rId1"/>
</worksheet>
</file>

<file path=xl/worksheets/sheet17.xml><?xml version="1.0" encoding="utf-8"?>
<worksheet xmlns="http://schemas.openxmlformats.org/spreadsheetml/2006/main" xmlns:r="http://schemas.openxmlformats.org/officeDocument/2006/relationships">
  <sheetPr>
    <pageSetUpPr fitToPage="1"/>
  </sheetPr>
  <dimension ref="A1:Y25"/>
  <sheetViews>
    <sheetView zoomScale="75" zoomScaleNormal="75" zoomScalePageLayoutView="0" workbookViewId="0" topLeftCell="A1">
      <selection activeCell="G8" sqref="G8"/>
    </sheetView>
  </sheetViews>
  <sheetFormatPr defaultColWidth="9.125" defaultRowHeight="14.25"/>
  <cols>
    <col min="1" max="1" width="6.25390625" style="61" customWidth="1"/>
    <col min="2" max="2" width="24.375" style="50" customWidth="1"/>
    <col min="3" max="3" width="10.875" style="51" customWidth="1"/>
    <col min="4" max="4" width="9.125" style="51" customWidth="1"/>
    <col min="5" max="5" width="14.00390625" style="51" customWidth="1"/>
    <col min="6" max="6" width="11.25390625" style="52" customWidth="1"/>
    <col min="7" max="7" width="9.125" style="52" customWidth="1"/>
    <col min="8" max="8" width="15.125" style="53" customWidth="1"/>
    <col min="9" max="9" width="14.625" style="54" customWidth="1"/>
    <col min="10" max="10" width="14.125" style="54" customWidth="1"/>
    <col min="11" max="11" width="13.375" style="55" customWidth="1"/>
    <col min="12" max="12" width="11.375" style="55" customWidth="1"/>
    <col min="13" max="13" width="14.75390625" style="54" customWidth="1"/>
    <col min="14" max="14" width="12.375" style="55" customWidth="1"/>
    <col min="15" max="15" width="12.75390625" style="55" customWidth="1"/>
    <col min="16" max="16" width="13.125" style="54" customWidth="1"/>
    <col min="17" max="17" width="13.875" style="55" customWidth="1"/>
    <col min="18" max="18" width="13.25390625" style="55" customWidth="1"/>
    <col min="19" max="19" width="13.125" style="54" customWidth="1"/>
    <col min="20" max="20" width="14.125" style="54" customWidth="1"/>
    <col min="21" max="21" width="13.125" style="56" bestFit="1" customWidth="1"/>
    <col min="22" max="22" width="9.25390625" style="56" bestFit="1" customWidth="1"/>
    <col min="23" max="23" width="10.75390625" style="56" customWidth="1"/>
    <col min="24" max="24" width="11.25390625" style="57" customWidth="1"/>
    <col min="25" max="25" width="9.125" style="57" customWidth="1"/>
    <col min="26" max="16384" width="9.125" style="50" customWidth="1"/>
  </cols>
  <sheetData>
    <row r="1" spans="23:25" ht="15.75">
      <c r="W1" s="695" t="s">
        <v>250</v>
      </c>
      <c r="X1" s="695"/>
      <c r="Y1" s="695"/>
    </row>
    <row r="2" spans="1:25" ht="39.75" customHeight="1">
      <c r="A2" s="704" t="s">
        <v>637</v>
      </c>
      <c r="B2" s="704"/>
      <c r="C2" s="704"/>
      <c r="D2" s="704"/>
      <c r="E2" s="704"/>
      <c r="F2" s="704"/>
      <c r="G2" s="704"/>
      <c r="H2" s="704"/>
      <c r="I2" s="704"/>
      <c r="J2" s="704"/>
      <c r="K2" s="704"/>
      <c r="L2" s="704"/>
      <c r="M2" s="704"/>
      <c r="N2" s="704"/>
      <c r="O2" s="704"/>
      <c r="P2" s="704"/>
      <c r="Q2" s="704"/>
      <c r="R2" s="704"/>
      <c r="S2" s="704"/>
      <c r="T2" s="704"/>
      <c r="U2" s="704"/>
      <c r="V2" s="704"/>
      <c r="W2" s="704"/>
      <c r="X2" s="58"/>
      <c r="Y2" s="58"/>
    </row>
    <row r="3" spans="1:25" ht="36" customHeight="1">
      <c r="A3" s="597" t="s">
        <v>680</v>
      </c>
      <c r="B3" s="597"/>
      <c r="C3" s="597"/>
      <c r="D3" s="597"/>
      <c r="E3" s="597"/>
      <c r="F3" s="597"/>
      <c r="G3" s="597"/>
      <c r="H3" s="597"/>
      <c r="I3" s="597"/>
      <c r="J3" s="597"/>
      <c r="K3" s="597"/>
      <c r="L3" s="597"/>
      <c r="M3" s="597"/>
      <c r="N3" s="597"/>
      <c r="O3" s="597"/>
      <c r="P3" s="597"/>
      <c r="Q3" s="597"/>
      <c r="R3" s="597"/>
      <c r="S3" s="597"/>
      <c r="T3" s="597"/>
      <c r="U3" s="597"/>
      <c r="V3" s="597"/>
      <c r="W3" s="597"/>
      <c r="X3" s="597"/>
      <c r="Y3" s="597"/>
    </row>
    <row r="4" spans="23:25" ht="30" customHeight="1">
      <c r="W4" s="694" t="s">
        <v>269</v>
      </c>
      <c r="X4" s="694"/>
      <c r="Y4" s="694"/>
    </row>
    <row r="5" spans="1:25" s="61" customFormat="1" ht="33.75" customHeight="1">
      <c r="A5" s="587" t="s">
        <v>43</v>
      </c>
      <c r="B5" s="587" t="s">
        <v>257</v>
      </c>
      <c r="C5" s="705" t="s">
        <v>440</v>
      </c>
      <c r="D5" s="705"/>
      <c r="E5" s="705"/>
      <c r="F5" s="705"/>
      <c r="G5" s="705"/>
      <c r="H5" s="706" t="s">
        <v>4</v>
      </c>
      <c r="I5" s="706"/>
      <c r="J5" s="706"/>
      <c r="K5" s="706"/>
      <c r="L5" s="706"/>
      <c r="M5" s="706"/>
      <c r="N5" s="706"/>
      <c r="O5" s="706"/>
      <c r="P5" s="706"/>
      <c r="Q5" s="706"/>
      <c r="R5" s="706"/>
      <c r="S5" s="706"/>
      <c r="T5" s="706"/>
      <c r="U5" s="696" t="s">
        <v>563</v>
      </c>
      <c r="V5" s="696"/>
      <c r="W5" s="696"/>
      <c r="X5" s="696"/>
      <c r="Y5" s="696"/>
    </row>
    <row r="6" spans="1:25" s="61" customFormat="1" ht="27.75" customHeight="1">
      <c r="A6" s="587"/>
      <c r="B6" s="587"/>
      <c r="C6" s="705" t="s">
        <v>67</v>
      </c>
      <c r="D6" s="705" t="s">
        <v>561</v>
      </c>
      <c r="E6" s="708" t="s">
        <v>58</v>
      </c>
      <c r="F6" s="715" t="s">
        <v>72</v>
      </c>
      <c r="G6" s="716"/>
      <c r="H6" s="714" t="s">
        <v>67</v>
      </c>
      <c r="I6" s="711" t="s">
        <v>561</v>
      </c>
      <c r="J6" s="706" t="s">
        <v>58</v>
      </c>
      <c r="K6" s="706"/>
      <c r="L6" s="706"/>
      <c r="M6" s="706" t="s">
        <v>21</v>
      </c>
      <c r="N6" s="706"/>
      <c r="O6" s="706"/>
      <c r="P6" s="706" t="s">
        <v>200</v>
      </c>
      <c r="Q6" s="706"/>
      <c r="R6" s="706"/>
      <c r="S6" s="711" t="s">
        <v>580</v>
      </c>
      <c r="T6" s="706" t="s">
        <v>544</v>
      </c>
      <c r="U6" s="696" t="s">
        <v>67</v>
      </c>
      <c r="V6" s="696" t="s">
        <v>561</v>
      </c>
      <c r="W6" s="697" t="s">
        <v>58</v>
      </c>
      <c r="X6" s="700" t="s">
        <v>72</v>
      </c>
      <c r="Y6" s="701"/>
    </row>
    <row r="7" spans="1:25" s="61" customFormat="1" ht="34.5" customHeight="1">
      <c r="A7" s="587"/>
      <c r="B7" s="587"/>
      <c r="C7" s="705"/>
      <c r="D7" s="705"/>
      <c r="E7" s="709"/>
      <c r="F7" s="717"/>
      <c r="G7" s="718"/>
      <c r="H7" s="714"/>
      <c r="I7" s="712"/>
      <c r="J7" s="706" t="s">
        <v>67</v>
      </c>
      <c r="K7" s="707" t="s">
        <v>72</v>
      </c>
      <c r="L7" s="707"/>
      <c r="M7" s="706" t="s">
        <v>67</v>
      </c>
      <c r="N7" s="707" t="s">
        <v>72</v>
      </c>
      <c r="O7" s="707"/>
      <c r="P7" s="706" t="s">
        <v>67</v>
      </c>
      <c r="Q7" s="707" t="s">
        <v>72</v>
      </c>
      <c r="R7" s="707"/>
      <c r="S7" s="712"/>
      <c r="T7" s="706"/>
      <c r="U7" s="696"/>
      <c r="V7" s="696"/>
      <c r="W7" s="698"/>
      <c r="X7" s="702"/>
      <c r="Y7" s="703"/>
    </row>
    <row r="8" spans="1:25" s="61" customFormat="1" ht="63">
      <c r="A8" s="587"/>
      <c r="B8" s="587"/>
      <c r="C8" s="705"/>
      <c r="D8" s="705"/>
      <c r="E8" s="710"/>
      <c r="F8" s="63" t="s">
        <v>22</v>
      </c>
      <c r="G8" s="63" t="s">
        <v>249</v>
      </c>
      <c r="H8" s="714"/>
      <c r="I8" s="713"/>
      <c r="J8" s="706"/>
      <c r="K8" s="62" t="s">
        <v>22</v>
      </c>
      <c r="L8" s="62" t="s">
        <v>249</v>
      </c>
      <c r="M8" s="706"/>
      <c r="N8" s="62" t="s">
        <v>344</v>
      </c>
      <c r="O8" s="62" t="s">
        <v>58</v>
      </c>
      <c r="P8" s="706"/>
      <c r="Q8" s="62" t="s">
        <v>343</v>
      </c>
      <c r="R8" s="62" t="s">
        <v>58</v>
      </c>
      <c r="S8" s="713"/>
      <c r="T8" s="706"/>
      <c r="U8" s="696"/>
      <c r="V8" s="696"/>
      <c r="W8" s="699"/>
      <c r="X8" s="64" t="s">
        <v>22</v>
      </c>
      <c r="Y8" s="64" t="s">
        <v>315</v>
      </c>
    </row>
    <row r="9" spans="1:25" s="61" customFormat="1" ht="22.5" customHeight="1">
      <c r="A9" s="41" t="s">
        <v>45</v>
      </c>
      <c r="B9" s="41" t="s">
        <v>46</v>
      </c>
      <c r="C9" s="59">
        <v>1</v>
      </c>
      <c r="D9" s="59">
        <v>2</v>
      </c>
      <c r="E9" s="59">
        <v>3</v>
      </c>
      <c r="F9" s="59">
        <v>4</v>
      </c>
      <c r="G9" s="59">
        <v>5</v>
      </c>
      <c r="H9" s="236">
        <v>6</v>
      </c>
      <c r="I9" s="59">
        <v>7</v>
      </c>
      <c r="J9" s="59">
        <v>8</v>
      </c>
      <c r="K9" s="59">
        <v>9</v>
      </c>
      <c r="L9" s="59">
        <v>10</v>
      </c>
      <c r="M9" s="59" t="s">
        <v>30</v>
      </c>
      <c r="N9" s="59">
        <v>12</v>
      </c>
      <c r="O9" s="59">
        <v>13</v>
      </c>
      <c r="P9" s="59" t="s">
        <v>201</v>
      </c>
      <c r="Q9" s="59">
        <v>15</v>
      </c>
      <c r="R9" s="59">
        <v>16</v>
      </c>
      <c r="S9" s="59">
        <v>17</v>
      </c>
      <c r="T9" s="59">
        <v>18</v>
      </c>
      <c r="U9" s="60" t="s">
        <v>202</v>
      </c>
      <c r="V9" s="60" t="s">
        <v>203</v>
      </c>
      <c r="W9" s="60" t="s">
        <v>204</v>
      </c>
      <c r="X9" s="60" t="s">
        <v>205</v>
      </c>
      <c r="Y9" s="60" t="s">
        <v>342</v>
      </c>
    </row>
    <row r="10" spans="1:25" s="79" customFormat="1" ht="36" customHeight="1">
      <c r="A10" s="342"/>
      <c r="B10" s="65" t="s">
        <v>68</v>
      </c>
      <c r="C10" s="204">
        <f aca="true" t="shared" si="0" ref="C10:H10">SUM(C11:C20)</f>
        <v>4043936</v>
      </c>
      <c r="D10" s="204">
        <f t="shared" si="0"/>
        <v>59501</v>
      </c>
      <c r="E10" s="204">
        <f t="shared" si="0"/>
        <v>3984435</v>
      </c>
      <c r="F10" s="205">
        <f t="shared" si="0"/>
        <v>2324205</v>
      </c>
      <c r="G10" s="205">
        <f t="shared" si="0"/>
        <v>2550</v>
      </c>
      <c r="H10" s="206">
        <f t="shared" si="0"/>
        <v>5727635.3613020005</v>
      </c>
      <c r="I10" s="206">
        <f aca="true" t="shared" si="1" ref="I10:R10">SUM(I11:I20)</f>
        <v>109677.96236800001</v>
      </c>
      <c r="J10" s="206">
        <f t="shared" si="1"/>
        <v>4471193.601247</v>
      </c>
      <c r="K10" s="206">
        <f t="shared" si="1"/>
        <v>2654308.663791</v>
      </c>
      <c r="L10" s="206">
        <f t="shared" si="1"/>
        <v>3792.650341</v>
      </c>
      <c r="M10" s="206">
        <f t="shared" si="1"/>
        <v>474359.189423</v>
      </c>
      <c r="N10" s="206">
        <f t="shared" si="1"/>
        <v>348764.60679900006</v>
      </c>
      <c r="O10" s="206">
        <f t="shared" si="1"/>
        <v>125594.582624</v>
      </c>
      <c r="P10" s="206">
        <f t="shared" si="1"/>
        <v>116993.776989</v>
      </c>
      <c r="Q10" s="206">
        <f t="shared" si="1"/>
        <v>105854.37411799999</v>
      </c>
      <c r="R10" s="206">
        <f t="shared" si="1"/>
        <v>11139.402871</v>
      </c>
      <c r="S10" s="206">
        <f>SUM(S11:S20)</f>
        <v>54246.74281499999</v>
      </c>
      <c r="T10" s="206">
        <f>SUM(T11:T20)</f>
        <v>501164.0884600001</v>
      </c>
      <c r="U10" s="207">
        <f>H10/C10</f>
        <v>1.416351633977887</v>
      </c>
      <c r="V10" s="207">
        <f>I10/D10</f>
        <v>1.8432961188551453</v>
      </c>
      <c r="W10" s="207">
        <f>J10/E10</f>
        <v>1.1221650249651456</v>
      </c>
      <c r="X10" s="208">
        <f>K10/F10</f>
        <v>1.1420286350778008</v>
      </c>
      <c r="Y10" s="208">
        <f>L10/G10</f>
        <v>1.4873138592156863</v>
      </c>
    </row>
    <row r="11" spans="1:25" s="191" customFormat="1" ht="30" customHeight="1">
      <c r="A11" s="239">
        <v>1</v>
      </c>
      <c r="B11" s="190" t="s">
        <v>328</v>
      </c>
      <c r="C11" s="209">
        <f>D11+E11</f>
        <v>738860</v>
      </c>
      <c r="D11" s="209">
        <v>13000</v>
      </c>
      <c r="E11" s="209">
        <f>711083+14777</f>
        <v>725860</v>
      </c>
      <c r="F11" s="210">
        <v>443528</v>
      </c>
      <c r="G11" s="210">
        <v>500</v>
      </c>
      <c r="H11" s="211">
        <f>I11+J11+M11+P11+T11+S11</f>
        <v>961229.6979239999</v>
      </c>
      <c r="I11" s="212">
        <v>38739.757292</v>
      </c>
      <c r="J11" s="212">
        <v>800020.570124</v>
      </c>
      <c r="K11" s="213">
        <v>509410.755298</v>
      </c>
      <c r="L11" s="213">
        <v>459.7057</v>
      </c>
      <c r="M11" s="212">
        <f>N11+O11</f>
        <v>46278.94844</v>
      </c>
      <c r="N11" s="213">
        <v>33161.925257</v>
      </c>
      <c r="O11" s="211">
        <v>13117.023183</v>
      </c>
      <c r="P11" s="212">
        <f>Q11+R11</f>
        <v>86.078</v>
      </c>
      <c r="Q11" s="213"/>
      <c r="R11" s="213">
        <v>86.078</v>
      </c>
      <c r="S11" s="212">
        <v>10866.832017</v>
      </c>
      <c r="T11" s="212">
        <v>65237.512051</v>
      </c>
      <c r="U11" s="214">
        <f aca="true" t="shared" si="2" ref="U11:Y20">H11/C11</f>
        <v>1.300963237858322</v>
      </c>
      <c r="V11" s="214">
        <f t="shared" si="2"/>
        <v>2.9799813301538465</v>
      </c>
      <c r="W11" s="214">
        <f t="shared" si="2"/>
        <v>1.1021692476841263</v>
      </c>
      <c r="X11" s="215">
        <f t="shared" si="2"/>
        <v>1.1485424940432172</v>
      </c>
      <c r="Y11" s="215">
        <f>L11/G11</f>
        <v>0.9194114</v>
      </c>
    </row>
    <row r="12" spans="1:25" s="191" customFormat="1" ht="30" customHeight="1">
      <c r="A12" s="239">
        <v>2</v>
      </c>
      <c r="B12" s="190" t="s">
        <v>326</v>
      </c>
      <c r="C12" s="209">
        <f>D12+E12</f>
        <v>515291</v>
      </c>
      <c r="D12" s="209">
        <v>10400</v>
      </c>
      <c r="E12" s="209">
        <f>494585+10306</f>
        <v>504891</v>
      </c>
      <c r="F12" s="210">
        <v>313559</v>
      </c>
      <c r="G12" s="210">
        <v>500</v>
      </c>
      <c r="H12" s="211">
        <f>I12+J12+M12+P12+S12+T12</f>
        <v>708059.0151280002</v>
      </c>
      <c r="I12" s="212">
        <v>12270.139699</v>
      </c>
      <c r="J12" s="212">
        <v>577430.508767</v>
      </c>
      <c r="K12" s="213">
        <v>357439.493868</v>
      </c>
      <c r="L12" s="213">
        <v>494.129641</v>
      </c>
      <c r="M12" s="212">
        <f>N12+O12</f>
        <v>50481.325039999996</v>
      </c>
      <c r="N12" s="213">
        <v>38688.1372</v>
      </c>
      <c r="O12" s="213">
        <v>11793.18784</v>
      </c>
      <c r="P12" s="212">
        <f>Q12+R12</f>
        <v>7232.199515</v>
      </c>
      <c r="Q12" s="213">
        <v>4850.491515</v>
      </c>
      <c r="R12" s="213">
        <v>2381.708</v>
      </c>
      <c r="S12" s="212">
        <v>10103.286954</v>
      </c>
      <c r="T12" s="212">
        <v>50541.555153</v>
      </c>
      <c r="U12" s="214">
        <f t="shared" si="2"/>
        <v>1.3740954434057653</v>
      </c>
      <c r="V12" s="214">
        <f t="shared" si="2"/>
        <v>1.1798211249038462</v>
      </c>
      <c r="W12" s="214">
        <f t="shared" si="2"/>
        <v>1.143673602355756</v>
      </c>
      <c r="X12" s="215">
        <f t="shared" si="2"/>
        <v>1.1399433403857009</v>
      </c>
      <c r="Y12" s="215">
        <f>L12/G12</f>
        <v>0.988259282</v>
      </c>
    </row>
    <row r="13" spans="1:25" s="191" customFormat="1" ht="30" customHeight="1">
      <c r="A13" s="239">
        <v>3</v>
      </c>
      <c r="B13" s="190" t="s">
        <v>327</v>
      </c>
      <c r="C13" s="209">
        <f aca="true" t="shared" si="3" ref="C13:C20">D13+E13</f>
        <v>306460</v>
      </c>
      <c r="D13" s="209">
        <v>300</v>
      </c>
      <c r="E13" s="209">
        <f>300031+6129</f>
        <v>306160</v>
      </c>
      <c r="F13" s="210">
        <v>173274</v>
      </c>
      <c r="G13" s="210">
        <v>150</v>
      </c>
      <c r="H13" s="211">
        <f aca="true" t="shared" si="4" ref="H13:H20">I13+J13+M13+P13+S13+T13</f>
        <v>446915.74692500004</v>
      </c>
      <c r="I13" s="212">
        <v>782.175902</v>
      </c>
      <c r="J13" s="212">
        <v>337211.502265</v>
      </c>
      <c r="K13" s="213">
        <v>190125.946201</v>
      </c>
      <c r="L13" s="213">
        <v>40</v>
      </c>
      <c r="M13" s="212">
        <f aca="true" t="shared" si="5" ref="M13:M20">N13+O13</f>
        <v>36456.733225</v>
      </c>
      <c r="N13" s="213">
        <v>26659.984525</v>
      </c>
      <c r="O13" s="213">
        <v>9796.7487</v>
      </c>
      <c r="P13" s="212">
        <f aca="true" t="shared" si="6" ref="P13:P20">Q13+R13</f>
        <v>22103.802079999998</v>
      </c>
      <c r="Q13" s="213">
        <v>22064.84208</v>
      </c>
      <c r="R13" s="213">
        <v>38.96</v>
      </c>
      <c r="S13" s="212">
        <v>229.514</v>
      </c>
      <c r="T13" s="212">
        <v>50132.019453</v>
      </c>
      <c r="U13" s="214">
        <f t="shared" si="2"/>
        <v>1.4583167360340665</v>
      </c>
      <c r="V13" s="214">
        <f t="shared" si="2"/>
        <v>2.6072530066666664</v>
      </c>
      <c r="W13" s="214">
        <f t="shared" si="2"/>
        <v>1.1014224662431409</v>
      </c>
      <c r="X13" s="215">
        <f t="shared" si="2"/>
        <v>1.0972560580410218</v>
      </c>
      <c r="Y13" s="215">
        <f>L13/G13</f>
        <v>0.26666666666666666</v>
      </c>
    </row>
    <row r="14" spans="1:25" s="191" customFormat="1" ht="30" customHeight="1">
      <c r="A14" s="239">
        <v>4</v>
      </c>
      <c r="B14" s="190" t="s">
        <v>329</v>
      </c>
      <c r="C14" s="209">
        <f t="shared" si="3"/>
        <v>373563</v>
      </c>
      <c r="D14" s="209"/>
      <c r="E14" s="209">
        <f>366092+7471</f>
        <v>373563</v>
      </c>
      <c r="F14" s="210">
        <v>236046</v>
      </c>
      <c r="G14" s="210">
        <v>150</v>
      </c>
      <c r="H14" s="211">
        <f t="shared" si="4"/>
        <v>535059.80534</v>
      </c>
      <c r="I14" s="212">
        <v>3156.92295</v>
      </c>
      <c r="J14" s="212">
        <v>424864.718349</v>
      </c>
      <c r="K14" s="213">
        <v>269698.02284</v>
      </c>
      <c r="L14" s="213">
        <v>150</v>
      </c>
      <c r="M14" s="212">
        <f t="shared" si="5"/>
        <v>53200.643984</v>
      </c>
      <c r="N14" s="213">
        <v>41266.530863</v>
      </c>
      <c r="O14" s="213">
        <v>11934.113121</v>
      </c>
      <c r="P14" s="212">
        <f t="shared" si="6"/>
        <v>23347.33792</v>
      </c>
      <c r="Q14" s="213">
        <v>20353.84442</v>
      </c>
      <c r="R14" s="213">
        <v>2993.4935</v>
      </c>
      <c r="S14" s="212">
        <v>5580.251351</v>
      </c>
      <c r="T14" s="212">
        <v>24909.930786</v>
      </c>
      <c r="U14" s="214">
        <f t="shared" si="2"/>
        <v>1.43231477780187</v>
      </c>
      <c r="V14" s="214"/>
      <c r="W14" s="214">
        <f t="shared" si="2"/>
        <v>1.1373308340199644</v>
      </c>
      <c r="X14" s="215">
        <f t="shared" si="2"/>
        <v>1.1425655289223287</v>
      </c>
      <c r="Y14" s="215">
        <f>L14/G14</f>
        <v>1</v>
      </c>
    </row>
    <row r="15" spans="1:25" s="191" customFormat="1" ht="30" customHeight="1">
      <c r="A15" s="239">
        <v>5</v>
      </c>
      <c r="B15" s="190" t="s">
        <v>330</v>
      </c>
      <c r="C15" s="209">
        <f t="shared" si="3"/>
        <v>337117</v>
      </c>
      <c r="D15" s="209">
        <v>1650</v>
      </c>
      <c r="E15" s="209">
        <f>328725+6742</f>
        <v>335467</v>
      </c>
      <c r="F15" s="210">
        <v>193960</v>
      </c>
      <c r="G15" s="210">
        <v>150</v>
      </c>
      <c r="H15" s="211">
        <f t="shared" si="4"/>
        <v>506688.675092</v>
      </c>
      <c r="I15" s="212">
        <v>5989.81773</v>
      </c>
      <c r="J15" s="212">
        <v>383384.949918</v>
      </c>
      <c r="K15" s="213">
        <v>222565.617638</v>
      </c>
      <c r="L15" s="213">
        <v>59.415</v>
      </c>
      <c r="M15" s="212">
        <f t="shared" si="5"/>
        <v>57676.779351</v>
      </c>
      <c r="N15" s="213">
        <v>44037.661258</v>
      </c>
      <c r="O15" s="213">
        <v>13639.118093</v>
      </c>
      <c r="P15" s="212">
        <f t="shared" si="6"/>
        <v>32305.539092</v>
      </c>
      <c r="Q15" s="213">
        <v>29768.189741</v>
      </c>
      <c r="R15" s="213">
        <v>2537.349351</v>
      </c>
      <c r="S15" s="212">
        <v>3311.992593</v>
      </c>
      <c r="T15" s="212">
        <v>24019.596408</v>
      </c>
      <c r="U15" s="214">
        <f t="shared" si="2"/>
        <v>1.503005410857358</v>
      </c>
      <c r="V15" s="214">
        <f t="shared" si="2"/>
        <v>3.6301925636363634</v>
      </c>
      <c r="W15" s="214">
        <f t="shared" si="2"/>
        <v>1.1428395338975221</v>
      </c>
      <c r="X15" s="215">
        <f t="shared" si="2"/>
        <v>1.1474820459785522</v>
      </c>
      <c r="Y15" s="215">
        <f t="shared" si="2"/>
        <v>0.3961</v>
      </c>
    </row>
    <row r="16" spans="1:25" s="191" customFormat="1" ht="30" customHeight="1">
      <c r="A16" s="239">
        <v>6</v>
      </c>
      <c r="B16" s="190" t="s">
        <v>331</v>
      </c>
      <c r="C16" s="209">
        <f t="shared" si="3"/>
        <v>378764</v>
      </c>
      <c r="D16" s="209">
        <v>2500</v>
      </c>
      <c r="E16" s="209">
        <f>368689+7575</f>
        <v>376264</v>
      </c>
      <c r="F16" s="210">
        <v>218395</v>
      </c>
      <c r="G16" s="210">
        <v>150</v>
      </c>
      <c r="H16" s="211">
        <f t="shared" si="4"/>
        <v>628611.2410060001</v>
      </c>
      <c r="I16" s="212">
        <v>14544.620772</v>
      </c>
      <c r="J16" s="212">
        <v>462535.018288</v>
      </c>
      <c r="K16" s="213">
        <v>266031.94436</v>
      </c>
      <c r="L16" s="213">
        <v>150</v>
      </c>
      <c r="M16" s="212">
        <f t="shared" si="5"/>
        <v>49910.06262</v>
      </c>
      <c r="N16" s="213">
        <v>30125.1303</v>
      </c>
      <c r="O16" s="213">
        <v>19784.93232</v>
      </c>
      <c r="P16" s="212">
        <f t="shared" si="6"/>
        <v>2508.3952</v>
      </c>
      <c r="Q16" s="213">
        <v>1128.105</v>
      </c>
      <c r="R16" s="213">
        <v>1380.2902</v>
      </c>
      <c r="S16" s="212">
        <v>17782.71576</v>
      </c>
      <c r="T16" s="212">
        <v>81330.428366</v>
      </c>
      <c r="U16" s="214">
        <f t="shared" si="2"/>
        <v>1.6596382998542631</v>
      </c>
      <c r="V16" s="214">
        <f t="shared" si="2"/>
        <v>5.8178483088</v>
      </c>
      <c r="W16" s="214">
        <f t="shared" si="2"/>
        <v>1.2292832114898051</v>
      </c>
      <c r="X16" s="215">
        <f t="shared" si="2"/>
        <v>1.2181228707616933</v>
      </c>
      <c r="Y16" s="215">
        <f t="shared" si="2"/>
        <v>1</v>
      </c>
    </row>
    <row r="17" spans="1:25" s="191" customFormat="1" ht="30" customHeight="1">
      <c r="A17" s="239">
        <v>7</v>
      </c>
      <c r="B17" s="190" t="s">
        <v>332</v>
      </c>
      <c r="C17" s="209">
        <f t="shared" si="3"/>
        <v>448370</v>
      </c>
      <c r="D17" s="209"/>
      <c r="E17" s="209">
        <f>439403+8967</f>
        <v>448370</v>
      </c>
      <c r="F17" s="210">
        <v>279830</v>
      </c>
      <c r="G17" s="210">
        <v>150</v>
      </c>
      <c r="H17" s="211">
        <f t="shared" si="4"/>
        <v>695781.183907</v>
      </c>
      <c r="I17" s="212">
        <v>1115.520198</v>
      </c>
      <c r="J17" s="212">
        <v>506864.782962</v>
      </c>
      <c r="K17" s="213">
        <v>319333.300955</v>
      </c>
      <c r="L17" s="213">
        <v>144</v>
      </c>
      <c r="M17" s="212">
        <f t="shared" si="5"/>
        <v>109504.821025</v>
      </c>
      <c r="N17" s="213">
        <v>91690.481992</v>
      </c>
      <c r="O17" s="213">
        <v>17814.339033</v>
      </c>
      <c r="P17" s="212">
        <f t="shared" si="6"/>
        <v>25218.172162000003</v>
      </c>
      <c r="Q17" s="213">
        <v>24504.679862</v>
      </c>
      <c r="R17" s="213">
        <v>713.4923</v>
      </c>
      <c r="S17" s="212">
        <v>3931.999451</v>
      </c>
      <c r="T17" s="212">
        <v>49145.888109</v>
      </c>
      <c r="U17" s="214">
        <f t="shared" si="2"/>
        <v>1.5518013781185183</v>
      </c>
      <c r="V17" s="214"/>
      <c r="W17" s="214">
        <f t="shared" si="2"/>
        <v>1.1304609651894642</v>
      </c>
      <c r="X17" s="215">
        <f t="shared" si="2"/>
        <v>1.1411689274023513</v>
      </c>
      <c r="Y17" s="215">
        <f t="shared" si="2"/>
        <v>0.96</v>
      </c>
    </row>
    <row r="18" spans="1:25" s="191" customFormat="1" ht="30" customHeight="1">
      <c r="A18" s="239">
        <v>8</v>
      </c>
      <c r="B18" s="190" t="s">
        <v>333</v>
      </c>
      <c r="C18" s="209">
        <f t="shared" si="3"/>
        <v>428713</v>
      </c>
      <c r="D18" s="209">
        <v>30784</v>
      </c>
      <c r="E18" s="209">
        <f>389355+8574</f>
        <v>397929</v>
      </c>
      <c r="F18" s="210">
        <v>166755</v>
      </c>
      <c r="G18" s="210">
        <v>500</v>
      </c>
      <c r="H18" s="211">
        <f t="shared" si="4"/>
        <v>540503.8388649999</v>
      </c>
      <c r="I18" s="212">
        <v>30898.529825</v>
      </c>
      <c r="J18" s="212">
        <v>402456.476149</v>
      </c>
      <c r="K18" s="213">
        <v>175803.03627</v>
      </c>
      <c r="L18" s="213">
        <v>2000</v>
      </c>
      <c r="M18" s="212">
        <f t="shared" si="5"/>
        <v>1422.6114</v>
      </c>
      <c r="N18" s="213">
        <v>81.313</v>
      </c>
      <c r="O18" s="213">
        <v>1341.2984</v>
      </c>
      <c r="P18" s="212">
        <f t="shared" si="6"/>
        <v>226</v>
      </c>
      <c r="Q18" s="213">
        <v>179</v>
      </c>
      <c r="R18" s="213">
        <v>47</v>
      </c>
      <c r="S18" s="237">
        <v>2038.734689</v>
      </c>
      <c r="T18" s="212">
        <v>103461.486802</v>
      </c>
      <c r="U18" s="214">
        <f t="shared" si="2"/>
        <v>1.2607591532447113</v>
      </c>
      <c r="V18" s="214">
        <f t="shared" si="2"/>
        <v>1.0037204335044179</v>
      </c>
      <c r="W18" s="214">
        <f t="shared" si="2"/>
        <v>1.0113775978855524</v>
      </c>
      <c r="X18" s="215">
        <f t="shared" si="2"/>
        <v>1.054259460106144</v>
      </c>
      <c r="Y18" s="215">
        <f t="shared" si="2"/>
        <v>4</v>
      </c>
    </row>
    <row r="19" spans="1:25" s="191" customFormat="1" ht="30" customHeight="1">
      <c r="A19" s="239">
        <v>9</v>
      </c>
      <c r="B19" s="190" t="s">
        <v>334</v>
      </c>
      <c r="C19" s="209">
        <f t="shared" si="3"/>
        <v>114908</v>
      </c>
      <c r="D19" s="209">
        <v>667</v>
      </c>
      <c r="E19" s="209">
        <f>111943+2298</f>
        <v>114241</v>
      </c>
      <c r="F19" s="210">
        <v>51197</v>
      </c>
      <c r="G19" s="210">
        <v>150</v>
      </c>
      <c r="H19" s="211">
        <f t="shared" si="4"/>
        <v>132220.10476000002</v>
      </c>
      <c r="I19" s="212">
        <v>717</v>
      </c>
      <c r="J19" s="212">
        <v>122450.913733</v>
      </c>
      <c r="K19" s="213">
        <v>56994.30852</v>
      </c>
      <c r="L19" s="213">
        <v>150</v>
      </c>
      <c r="M19" s="212">
        <f t="shared" si="5"/>
        <v>637.280643</v>
      </c>
      <c r="N19" s="213">
        <v>244.962</v>
      </c>
      <c r="O19" s="213">
        <v>392.318643</v>
      </c>
      <c r="P19" s="212">
        <f t="shared" si="6"/>
        <v>524.62652</v>
      </c>
      <c r="Q19" s="213"/>
      <c r="R19" s="213">
        <v>524.62652</v>
      </c>
      <c r="S19" s="212">
        <v>371.416</v>
      </c>
      <c r="T19" s="212">
        <v>7518.867864</v>
      </c>
      <c r="U19" s="214">
        <f t="shared" si="2"/>
        <v>1.1506605698471823</v>
      </c>
      <c r="V19" s="214">
        <f t="shared" si="2"/>
        <v>1.0749625187406298</v>
      </c>
      <c r="W19" s="214">
        <f t="shared" si="2"/>
        <v>1.0718648622911213</v>
      </c>
      <c r="X19" s="215">
        <f t="shared" si="2"/>
        <v>1.1132353169131004</v>
      </c>
      <c r="Y19" s="215">
        <f t="shared" si="2"/>
        <v>1</v>
      </c>
    </row>
    <row r="20" spans="1:25" s="191" customFormat="1" ht="30" customHeight="1">
      <c r="A20" s="239">
        <v>10</v>
      </c>
      <c r="B20" s="190" t="s">
        <v>335</v>
      </c>
      <c r="C20" s="209">
        <f t="shared" si="3"/>
        <v>401890</v>
      </c>
      <c r="D20" s="209">
        <v>200</v>
      </c>
      <c r="E20" s="209">
        <f>393652+8038</f>
        <v>401690</v>
      </c>
      <c r="F20" s="210">
        <v>247661</v>
      </c>
      <c r="G20" s="210">
        <v>150</v>
      </c>
      <c r="H20" s="211">
        <f t="shared" si="4"/>
        <v>572566.052355</v>
      </c>
      <c r="I20" s="212">
        <v>1463.478</v>
      </c>
      <c r="J20" s="212">
        <v>453974.160692</v>
      </c>
      <c r="K20" s="213">
        <v>286906.237841</v>
      </c>
      <c r="L20" s="213">
        <v>145.4</v>
      </c>
      <c r="M20" s="212">
        <f t="shared" si="5"/>
        <v>68789.983695</v>
      </c>
      <c r="N20" s="213">
        <v>42808.480404</v>
      </c>
      <c r="O20" s="213">
        <v>25981.503291</v>
      </c>
      <c r="P20" s="212">
        <f t="shared" si="6"/>
        <v>3441.6265000000003</v>
      </c>
      <c r="Q20" s="213">
        <v>3005.2215</v>
      </c>
      <c r="R20" s="213">
        <v>436.405</v>
      </c>
      <c r="S20" s="212">
        <v>30</v>
      </c>
      <c r="T20" s="212">
        <v>44866.803468</v>
      </c>
      <c r="U20" s="214">
        <f t="shared" si="2"/>
        <v>1.4246835013436514</v>
      </c>
      <c r="V20" s="214">
        <f t="shared" si="2"/>
        <v>7.3173900000000005</v>
      </c>
      <c r="W20" s="214">
        <f t="shared" si="2"/>
        <v>1.1301604737284972</v>
      </c>
      <c r="X20" s="215">
        <f t="shared" si="2"/>
        <v>1.1584635362087694</v>
      </c>
      <c r="Y20" s="215">
        <f t="shared" si="2"/>
        <v>0.9693333333333334</v>
      </c>
    </row>
    <row r="21" spans="1:25" ht="15.75">
      <c r="A21" s="47"/>
      <c r="B21" s="67"/>
      <c r="C21" s="68"/>
      <c r="D21" s="68"/>
      <c r="E21" s="68"/>
      <c r="F21" s="69"/>
      <c r="G21" s="69"/>
      <c r="H21" s="70"/>
      <c r="I21" s="71"/>
      <c r="J21" s="71"/>
      <c r="K21" s="72"/>
      <c r="L21" s="72"/>
      <c r="M21" s="71"/>
      <c r="N21" s="72"/>
      <c r="O21" s="72"/>
      <c r="P21" s="71"/>
      <c r="Q21" s="72"/>
      <c r="R21" s="72"/>
      <c r="S21" s="71"/>
      <c r="T21" s="71"/>
      <c r="U21" s="73"/>
      <c r="V21" s="73"/>
      <c r="W21" s="73"/>
      <c r="X21" s="74"/>
      <c r="Y21" s="74"/>
    </row>
    <row r="22" spans="1:20" ht="15.75" hidden="1">
      <c r="A22" s="446"/>
      <c r="H22" s="53">
        <v>5623135.743851</v>
      </c>
      <c r="I22" s="54">
        <v>109677.962368</v>
      </c>
      <c r="J22" s="54">
        <v>4380247.195475</v>
      </c>
      <c r="K22" s="55">
        <v>2584059.029823</v>
      </c>
      <c r="L22" s="55">
        <v>3792.650341</v>
      </c>
      <c r="N22" s="55">
        <v>348764.606799</v>
      </c>
      <c r="O22" s="55">
        <v>125594.582624</v>
      </c>
      <c r="Q22" s="55">
        <v>105854.374118</v>
      </c>
      <c r="R22" s="55">
        <v>11139.402871</v>
      </c>
      <c r="S22" s="54">
        <v>52875.735815</v>
      </c>
      <c r="T22" s="54">
        <v>488981.883781</v>
      </c>
    </row>
    <row r="23" spans="1:25" s="75" customFormat="1" ht="15.75" hidden="1">
      <c r="A23" s="291"/>
      <c r="C23" s="76"/>
      <c r="D23" s="76"/>
      <c r="E23" s="76"/>
      <c r="F23" s="52"/>
      <c r="G23" s="52"/>
      <c r="H23" s="53">
        <f>H10-H22</f>
        <v>104499.61745100003</v>
      </c>
      <c r="I23" s="77">
        <f>I10-I22</f>
        <v>0</v>
      </c>
      <c r="J23" s="77">
        <f>J10-J22</f>
        <v>90946.40577199962</v>
      </c>
      <c r="K23" s="55">
        <f>K10-K22</f>
        <v>70249.63396799983</v>
      </c>
      <c r="L23" s="55">
        <f>SUM(L10-L22)</f>
        <v>0</v>
      </c>
      <c r="M23" s="55">
        <f aca="true" t="shared" si="7" ref="M23:T23">SUM(M10-M22)</f>
        <v>474359.189423</v>
      </c>
      <c r="N23" s="55">
        <f t="shared" si="7"/>
        <v>5.820766091346741E-11</v>
      </c>
      <c r="O23" s="55">
        <f t="shared" si="7"/>
        <v>0</v>
      </c>
      <c r="P23" s="55">
        <f t="shared" si="7"/>
        <v>116993.776989</v>
      </c>
      <c r="Q23" s="55">
        <f t="shared" si="7"/>
        <v>-1.4551915228366852E-11</v>
      </c>
      <c r="R23" s="55">
        <f t="shared" si="7"/>
        <v>0</v>
      </c>
      <c r="S23" s="55">
        <f t="shared" si="7"/>
        <v>1371.0069999999905</v>
      </c>
      <c r="T23" s="55">
        <f t="shared" si="7"/>
        <v>12182.204679000133</v>
      </c>
      <c r="U23" s="78"/>
      <c r="V23" s="78"/>
      <c r="W23" s="78"/>
      <c r="X23" s="57"/>
      <c r="Y23" s="57"/>
    </row>
    <row r="24" ht="15.75" hidden="1">
      <c r="A24" s="291"/>
    </row>
    <row r="25" ht="15.75" hidden="1">
      <c r="A25" s="291"/>
    </row>
    <row r="26" ht="15" hidden="1"/>
  </sheetData>
  <sheetProtection/>
  <mergeCells count="30">
    <mergeCell ref="C6:C8"/>
    <mergeCell ref="D6:D8"/>
    <mergeCell ref="E6:E8"/>
    <mergeCell ref="S6:S8"/>
    <mergeCell ref="H6:H8"/>
    <mergeCell ref="I6:I8"/>
    <mergeCell ref="P7:P8"/>
    <mergeCell ref="Q7:R7"/>
    <mergeCell ref="F6:G7"/>
    <mergeCell ref="J7:J8"/>
    <mergeCell ref="P6:R6"/>
    <mergeCell ref="N7:O7"/>
    <mergeCell ref="H5:T5"/>
    <mergeCell ref="U5:Y5"/>
    <mergeCell ref="T6:T8"/>
    <mergeCell ref="U6:U8"/>
    <mergeCell ref="K7:L7"/>
    <mergeCell ref="M7:M8"/>
    <mergeCell ref="J6:L6"/>
    <mergeCell ref="M6:O6"/>
    <mergeCell ref="A3:Y3"/>
    <mergeCell ref="W4:Y4"/>
    <mergeCell ref="W1:Y1"/>
    <mergeCell ref="V6:V8"/>
    <mergeCell ref="W6:W8"/>
    <mergeCell ref="X6:Y7"/>
    <mergeCell ref="A2:W2"/>
    <mergeCell ref="A5:A8"/>
    <mergeCell ref="B5:B8"/>
    <mergeCell ref="C5:G5"/>
  </mergeCells>
  <printOptions horizontalCentered="1"/>
  <pageMargins left="0" right="0" top="0" bottom="0" header="0.3" footer="0.3"/>
  <pageSetup fitToHeight="1" fitToWidth="1" horizontalDpi="300" verticalDpi="300" orientation="landscape" paperSize="9" scale="41" r:id="rId1"/>
</worksheet>
</file>

<file path=xl/worksheets/sheet18.xml><?xml version="1.0" encoding="utf-8"?>
<worksheet xmlns="http://schemas.openxmlformats.org/spreadsheetml/2006/main" xmlns:r="http://schemas.openxmlformats.org/officeDocument/2006/relationships">
  <dimension ref="A1:Z32"/>
  <sheetViews>
    <sheetView zoomScalePageLayoutView="0" workbookViewId="0" topLeftCell="A10">
      <selection activeCell="L20" sqref="L20"/>
    </sheetView>
  </sheetViews>
  <sheetFormatPr defaultColWidth="9.00390625" defaultRowHeight="14.25"/>
  <cols>
    <col min="1" max="1" width="6.25390625" style="447" customWidth="1"/>
    <col min="2" max="2" width="22.625" style="0" customWidth="1"/>
    <col min="3" max="4" width="11.25390625" style="0" bestFit="1" customWidth="1"/>
    <col min="5" max="5" width="5.625" style="0" customWidth="1"/>
    <col min="6" max="6" width="5.875" style="0" customWidth="1"/>
    <col min="7" max="7" width="5.25390625" style="0" customWidth="1"/>
    <col min="8" max="8" width="8.625" style="0" customWidth="1"/>
    <col min="9" max="9" width="7.75390625" style="0" customWidth="1"/>
    <col min="10" max="10" width="5.375" style="0" customWidth="1"/>
    <col min="11" max="11" width="12.50390625" style="0" customWidth="1"/>
    <col min="12" max="12" width="12.375" style="0" customWidth="1"/>
    <col min="13" max="13" width="12.50390625" style="0" customWidth="1"/>
    <col min="14" max="14" width="9.875" style="0" customWidth="1"/>
    <col min="15" max="16" width="11.625" style="0" customWidth="1"/>
    <col min="17" max="17" width="11.25390625" style="0" customWidth="1"/>
    <col min="18" max="18" width="10.75390625" style="0" customWidth="1"/>
    <col min="19" max="19" width="8.75390625" style="0" customWidth="1"/>
    <col min="20" max="20" width="9.25390625" style="0" bestFit="1" customWidth="1"/>
    <col min="21" max="21" width="7.625" style="0" customWidth="1"/>
    <col min="22" max="22" width="6.625" style="0" customWidth="1"/>
    <col min="23" max="23" width="6.00390625" style="0" customWidth="1"/>
    <col min="24" max="24" width="8.25390625" style="0" customWidth="1"/>
    <col min="25" max="25" width="7.625" style="0" customWidth="1"/>
    <col min="26" max="26" width="8.625" style="0" customWidth="1"/>
  </cols>
  <sheetData>
    <row r="1" ht="15.75">
      <c r="Z1" s="1" t="s">
        <v>23</v>
      </c>
    </row>
    <row r="2" spans="1:26" ht="18.75">
      <c r="A2" s="640" t="s">
        <v>638</v>
      </c>
      <c r="B2" s="640"/>
      <c r="C2" s="640"/>
      <c r="D2" s="640"/>
      <c r="E2" s="640"/>
      <c r="F2" s="640"/>
      <c r="G2" s="640"/>
      <c r="H2" s="640"/>
      <c r="I2" s="640"/>
      <c r="J2" s="640"/>
      <c r="K2" s="640"/>
      <c r="L2" s="640"/>
      <c r="M2" s="640"/>
      <c r="N2" s="640"/>
      <c r="O2" s="640"/>
      <c r="P2" s="640"/>
      <c r="Q2" s="640"/>
      <c r="R2" s="640"/>
      <c r="S2" s="640"/>
      <c r="T2" s="640"/>
      <c r="U2" s="640"/>
      <c r="V2" s="640"/>
      <c r="W2" s="640"/>
      <c r="X2" s="640"/>
      <c r="Y2" s="640"/>
      <c r="Z2" s="640"/>
    </row>
    <row r="3" spans="1:26" ht="27" customHeight="1">
      <c r="A3" s="597" t="s">
        <v>680</v>
      </c>
      <c r="B3" s="597"/>
      <c r="C3" s="597"/>
      <c r="D3" s="597"/>
      <c r="E3" s="597"/>
      <c r="F3" s="597"/>
      <c r="G3" s="597"/>
      <c r="H3" s="597"/>
      <c r="I3" s="597"/>
      <c r="J3" s="597"/>
      <c r="K3" s="597"/>
      <c r="L3" s="597"/>
      <c r="M3" s="597"/>
      <c r="N3" s="597"/>
      <c r="O3" s="597"/>
      <c r="P3" s="597"/>
      <c r="Q3" s="597"/>
      <c r="R3" s="597"/>
      <c r="S3" s="597"/>
      <c r="T3" s="597"/>
      <c r="U3" s="597"/>
      <c r="V3" s="597"/>
      <c r="W3" s="597"/>
      <c r="X3" s="597"/>
      <c r="Y3" s="597"/>
      <c r="Z3" s="561"/>
    </row>
    <row r="4" ht="15.75">
      <c r="Z4" s="2" t="s">
        <v>48</v>
      </c>
    </row>
    <row r="5" spans="1:26" ht="15.75">
      <c r="A5" s="642" t="s">
        <v>43</v>
      </c>
      <c r="B5" s="642" t="s">
        <v>257</v>
      </c>
      <c r="C5" s="642" t="s">
        <v>314</v>
      </c>
      <c r="D5" s="642"/>
      <c r="E5" s="642"/>
      <c r="F5" s="642"/>
      <c r="G5" s="642"/>
      <c r="H5" s="642"/>
      <c r="I5" s="642"/>
      <c r="J5" s="642"/>
      <c r="K5" s="642" t="s">
        <v>4</v>
      </c>
      <c r="L5" s="642"/>
      <c r="M5" s="642"/>
      <c r="N5" s="642"/>
      <c r="O5" s="642"/>
      <c r="P5" s="642"/>
      <c r="Q5" s="642"/>
      <c r="R5" s="642"/>
      <c r="S5" s="642" t="s">
        <v>24</v>
      </c>
      <c r="T5" s="642"/>
      <c r="U5" s="642"/>
      <c r="V5" s="642"/>
      <c r="W5" s="642"/>
      <c r="X5" s="642"/>
      <c r="Y5" s="642"/>
      <c r="Z5" s="642"/>
    </row>
    <row r="6" spans="1:26" ht="21" customHeight="1">
      <c r="A6" s="642"/>
      <c r="B6" s="642"/>
      <c r="C6" s="642" t="s">
        <v>67</v>
      </c>
      <c r="D6" s="642" t="s">
        <v>9</v>
      </c>
      <c r="E6" s="642" t="s">
        <v>10</v>
      </c>
      <c r="F6" s="642"/>
      <c r="G6" s="642"/>
      <c r="H6" s="642"/>
      <c r="I6" s="642"/>
      <c r="J6" s="642"/>
      <c r="K6" s="642" t="s">
        <v>67</v>
      </c>
      <c r="L6" s="642" t="s">
        <v>9</v>
      </c>
      <c r="M6" s="642" t="s">
        <v>10</v>
      </c>
      <c r="N6" s="642"/>
      <c r="O6" s="642"/>
      <c r="P6" s="642"/>
      <c r="Q6" s="642"/>
      <c r="R6" s="642"/>
      <c r="S6" s="642" t="s">
        <v>67</v>
      </c>
      <c r="T6" s="642" t="s">
        <v>9</v>
      </c>
      <c r="U6" s="642" t="s">
        <v>10</v>
      </c>
      <c r="V6" s="642"/>
      <c r="W6" s="642"/>
      <c r="X6" s="642"/>
      <c r="Y6" s="642"/>
      <c r="Z6" s="642"/>
    </row>
    <row r="7" spans="1:26" ht="24.75" customHeight="1">
      <c r="A7" s="642"/>
      <c r="B7" s="642"/>
      <c r="C7" s="642"/>
      <c r="D7" s="642"/>
      <c r="E7" s="642" t="s">
        <v>67</v>
      </c>
      <c r="F7" s="642" t="s">
        <v>25</v>
      </c>
      <c r="G7" s="642"/>
      <c r="H7" s="642" t="s">
        <v>26</v>
      </c>
      <c r="I7" s="642" t="s">
        <v>27</v>
      </c>
      <c r="J7" s="642" t="s">
        <v>28</v>
      </c>
      <c r="K7" s="642"/>
      <c r="L7" s="642"/>
      <c r="M7" s="642" t="s">
        <v>67</v>
      </c>
      <c r="N7" s="642" t="s">
        <v>25</v>
      </c>
      <c r="O7" s="642"/>
      <c r="P7" s="642" t="s">
        <v>26</v>
      </c>
      <c r="Q7" s="642" t="s">
        <v>254</v>
      </c>
      <c r="R7" s="642" t="s">
        <v>28</v>
      </c>
      <c r="S7" s="642"/>
      <c r="T7" s="642"/>
      <c r="U7" s="642" t="s">
        <v>67</v>
      </c>
      <c r="V7" s="642" t="s">
        <v>25</v>
      </c>
      <c r="W7" s="642"/>
      <c r="X7" s="642" t="s">
        <v>26</v>
      </c>
      <c r="Y7" s="642" t="s">
        <v>255</v>
      </c>
      <c r="Z7" s="642" t="s">
        <v>28</v>
      </c>
    </row>
    <row r="8" spans="1:26" ht="132.75" customHeight="1">
      <c r="A8" s="642"/>
      <c r="B8" s="642"/>
      <c r="C8" s="642"/>
      <c r="D8" s="642"/>
      <c r="E8" s="642"/>
      <c r="F8" s="4" t="s">
        <v>324</v>
      </c>
      <c r="G8" s="4" t="s">
        <v>70</v>
      </c>
      <c r="H8" s="642"/>
      <c r="I8" s="642"/>
      <c r="J8" s="642"/>
      <c r="K8" s="642"/>
      <c r="L8" s="642"/>
      <c r="M8" s="642"/>
      <c r="N8" s="4" t="s">
        <v>324</v>
      </c>
      <c r="O8" s="4" t="s">
        <v>70</v>
      </c>
      <c r="P8" s="642"/>
      <c r="Q8" s="642"/>
      <c r="R8" s="642"/>
      <c r="S8" s="642"/>
      <c r="T8" s="642"/>
      <c r="U8" s="642"/>
      <c r="V8" s="4" t="s">
        <v>324</v>
      </c>
      <c r="W8" s="4" t="s">
        <v>70</v>
      </c>
      <c r="X8" s="642"/>
      <c r="Y8" s="642"/>
      <c r="Z8" s="642"/>
    </row>
    <row r="9" spans="1:26" s="7" customFormat="1" ht="24" customHeight="1">
      <c r="A9" s="6" t="s">
        <v>45</v>
      </c>
      <c r="B9" s="6" t="s">
        <v>46</v>
      </c>
      <c r="C9" s="6">
        <v>1</v>
      </c>
      <c r="D9" s="6">
        <v>2</v>
      </c>
      <c r="E9" s="6" t="s">
        <v>29</v>
      </c>
      <c r="F9" s="6">
        <v>4</v>
      </c>
      <c r="G9" s="6">
        <v>5</v>
      </c>
      <c r="H9" s="6">
        <v>6</v>
      </c>
      <c r="I9" s="6">
        <v>7</v>
      </c>
      <c r="J9" s="6">
        <v>8</v>
      </c>
      <c r="K9" s="6">
        <v>9</v>
      </c>
      <c r="L9" s="6">
        <v>10</v>
      </c>
      <c r="M9" s="6" t="s">
        <v>30</v>
      </c>
      <c r="N9" s="6">
        <v>12</v>
      </c>
      <c r="O9" s="6">
        <v>13</v>
      </c>
      <c r="P9" s="6">
        <v>14</v>
      </c>
      <c r="Q9" s="6">
        <v>15</v>
      </c>
      <c r="R9" s="6">
        <v>16</v>
      </c>
      <c r="S9" s="6" t="s">
        <v>31</v>
      </c>
      <c r="T9" s="6" t="s">
        <v>32</v>
      </c>
      <c r="U9" s="6" t="s">
        <v>33</v>
      </c>
      <c r="V9" s="6" t="s">
        <v>34</v>
      </c>
      <c r="W9" s="6" t="s">
        <v>35</v>
      </c>
      <c r="X9" s="6" t="s">
        <v>36</v>
      </c>
      <c r="Y9" s="6" t="s">
        <v>37</v>
      </c>
      <c r="Z9" s="6" t="s">
        <v>38</v>
      </c>
    </row>
    <row r="10" spans="1:26" s="18" customFormat="1" ht="37.5" customHeight="1">
      <c r="A10" s="8"/>
      <c r="B10" s="9" t="s">
        <v>68</v>
      </c>
      <c r="C10" s="39">
        <f>SUM(C11:C20)</f>
        <v>3598636</v>
      </c>
      <c r="D10" s="39">
        <f aca="true" t="shared" si="0" ref="D10:J10">SUM(D11:D20)</f>
        <v>3598636</v>
      </c>
      <c r="E10" s="39">
        <f t="shared" si="0"/>
        <v>0</v>
      </c>
      <c r="F10" s="39">
        <f t="shared" si="0"/>
        <v>0</v>
      </c>
      <c r="G10" s="39">
        <f t="shared" si="0"/>
        <v>0</v>
      </c>
      <c r="H10" s="39">
        <f t="shared" si="0"/>
        <v>0</v>
      </c>
      <c r="I10" s="39">
        <f t="shared" si="0"/>
        <v>0</v>
      </c>
      <c r="J10" s="39">
        <f t="shared" si="0"/>
        <v>0</v>
      </c>
      <c r="K10" s="147">
        <f>SUM(K11:K20)</f>
        <v>4846685.483853</v>
      </c>
      <c r="L10" s="147">
        <f>SUM(L11:L20)</f>
        <v>3611094.151471</v>
      </c>
      <c r="M10" s="147">
        <f aca="true" t="shared" si="1" ref="M10:R10">SUM(M11:M20)</f>
        <v>1235591.3323820003</v>
      </c>
      <c r="N10" s="147">
        <f t="shared" si="1"/>
        <v>99692.796035</v>
      </c>
      <c r="O10" s="147">
        <f t="shared" si="1"/>
        <v>1135898.536347</v>
      </c>
      <c r="P10" s="147">
        <f t="shared" si="1"/>
        <v>176373.292</v>
      </c>
      <c r="Q10" s="147">
        <f t="shared" si="1"/>
        <v>511513.52100000007</v>
      </c>
      <c r="R10" s="147">
        <f t="shared" si="1"/>
        <v>547704.519382</v>
      </c>
      <c r="S10" s="148">
        <f>K10/C10</f>
        <v>1.3468118153247508</v>
      </c>
      <c r="T10" s="148">
        <f>L10/D10</f>
        <v>1.0034619093098052</v>
      </c>
      <c r="U10" s="29">
        <f aca="true" t="shared" si="2" ref="U10:Z10">SUM(U11:U20)</f>
        <v>0</v>
      </c>
      <c r="V10" s="29">
        <f t="shared" si="2"/>
        <v>0</v>
      </c>
      <c r="W10" s="29">
        <f t="shared" si="2"/>
        <v>0</v>
      </c>
      <c r="X10" s="29">
        <f t="shared" si="2"/>
        <v>0</v>
      </c>
      <c r="Y10" s="29">
        <f t="shared" si="2"/>
        <v>0</v>
      </c>
      <c r="Z10" s="29">
        <f t="shared" si="2"/>
        <v>0</v>
      </c>
    </row>
    <row r="11" spans="1:26" s="80" customFormat="1" ht="30" customHeight="1">
      <c r="A11" s="152">
        <v>1</v>
      </c>
      <c r="B11" s="66" t="s">
        <v>328</v>
      </c>
      <c r="C11" s="37">
        <f>SUM(D11,E11,H11,I11,J11)</f>
        <v>655170</v>
      </c>
      <c r="D11" s="37">
        <v>655170</v>
      </c>
      <c r="E11" s="37">
        <f>SUM(F11:G11)</f>
        <v>0</v>
      </c>
      <c r="F11" s="37"/>
      <c r="G11" s="37"/>
      <c r="H11" s="37"/>
      <c r="I11" s="37"/>
      <c r="J11" s="37"/>
      <c r="K11" s="27">
        <f>SUM(L11:M11)</f>
        <v>819235.187088</v>
      </c>
      <c r="L11" s="27">
        <v>659370</v>
      </c>
      <c r="M11" s="27">
        <f>SUM(N11:O11)</f>
        <v>159865.187088</v>
      </c>
      <c r="N11" s="27">
        <v>1618.205539</v>
      </c>
      <c r="O11" s="27">
        <f>SUM(P11:R11)-N11</f>
        <v>158246.98154900002</v>
      </c>
      <c r="P11" s="27">
        <v>8820</v>
      </c>
      <c r="Q11" s="27">
        <f>68957.146+21990</f>
        <v>90947.146</v>
      </c>
      <c r="R11" s="27">
        <f>58518.041088+1580</f>
        <v>60098.041088</v>
      </c>
      <c r="S11" s="31">
        <f>K11/C11</f>
        <v>1.2504162081413985</v>
      </c>
      <c r="T11" s="31">
        <f>L11/D11</f>
        <v>1.0064105499336051</v>
      </c>
      <c r="U11" s="216"/>
      <c r="V11" s="216"/>
      <c r="W11" s="216"/>
      <c r="X11" s="216"/>
      <c r="Y11" s="216"/>
      <c r="Z11" s="216"/>
    </row>
    <row r="12" spans="1:26" s="81" customFormat="1" ht="30" customHeight="1">
      <c r="A12" s="152">
        <v>2</v>
      </c>
      <c r="B12" s="66" t="s">
        <v>326</v>
      </c>
      <c r="C12" s="37">
        <f aca="true" t="shared" si="3" ref="C12:C20">SUM(D12,E12,H12,I12,J12)</f>
        <v>475511</v>
      </c>
      <c r="D12" s="37">
        <v>475511</v>
      </c>
      <c r="E12" s="37">
        <f aca="true" t="shared" si="4" ref="E12:E20">SUM(F12:G12)</f>
        <v>0</v>
      </c>
      <c r="F12" s="37"/>
      <c r="G12" s="37"/>
      <c r="H12" s="37"/>
      <c r="I12" s="37"/>
      <c r="J12" s="37"/>
      <c r="K12" s="27">
        <f aca="true" t="shared" si="5" ref="K12:K20">SUM(L12:M12)</f>
        <v>625071.353</v>
      </c>
      <c r="L12" s="27">
        <v>475511</v>
      </c>
      <c r="M12" s="27">
        <f aca="true" t="shared" si="6" ref="M12:M20">SUM(N12:O12)</f>
        <v>149560.353</v>
      </c>
      <c r="N12" s="27">
        <v>3994.166385</v>
      </c>
      <c r="O12" s="27">
        <f aca="true" t="shared" si="7" ref="O12:O20">SUM(P12:R12)-N12</f>
        <v>145566.186615</v>
      </c>
      <c r="P12" s="27">
        <v>17007</v>
      </c>
      <c r="Q12" s="27">
        <f>59171.516+9661</f>
        <v>68832.516</v>
      </c>
      <c r="R12" s="27">
        <f>60720.837+3000</f>
        <v>63720.837</v>
      </c>
      <c r="S12" s="31">
        <f aca="true" t="shared" si="8" ref="S12:T20">K12/C12</f>
        <v>1.3145255377898724</v>
      </c>
      <c r="T12" s="31">
        <f t="shared" si="8"/>
        <v>1</v>
      </c>
      <c r="U12" s="216"/>
      <c r="V12" s="216"/>
      <c r="W12" s="216"/>
      <c r="X12" s="216"/>
      <c r="Y12" s="216"/>
      <c r="Z12" s="216"/>
    </row>
    <row r="13" spans="1:26" s="81" customFormat="1" ht="30" customHeight="1">
      <c r="A13" s="152">
        <v>3</v>
      </c>
      <c r="B13" s="66" t="s">
        <v>327</v>
      </c>
      <c r="C13" s="37">
        <f t="shared" si="3"/>
        <v>294100</v>
      </c>
      <c r="D13" s="37">
        <v>294100</v>
      </c>
      <c r="E13" s="37">
        <f t="shared" si="4"/>
        <v>0</v>
      </c>
      <c r="F13" s="37"/>
      <c r="G13" s="37"/>
      <c r="H13" s="37"/>
      <c r="I13" s="37"/>
      <c r="J13" s="37"/>
      <c r="K13" s="27">
        <f t="shared" si="5"/>
        <v>418963.000902</v>
      </c>
      <c r="L13" s="27">
        <v>294873.708902</v>
      </c>
      <c r="M13" s="27">
        <f t="shared" si="6"/>
        <v>124089.292</v>
      </c>
      <c r="N13" s="27">
        <f>20416.579222+4000</f>
        <v>24416.579222</v>
      </c>
      <c r="O13" s="27">
        <f t="shared" si="7"/>
        <v>99672.712778</v>
      </c>
      <c r="P13" s="27">
        <v>29117.904</v>
      </c>
      <c r="Q13" s="27">
        <f>30789.46+6889</f>
        <v>37678.46</v>
      </c>
      <c r="R13" s="27">
        <f>53292.928+4000</f>
        <v>57292.928</v>
      </c>
      <c r="S13" s="31">
        <f t="shared" si="8"/>
        <v>1.424559676647399</v>
      </c>
      <c r="T13" s="31">
        <f t="shared" si="8"/>
        <v>1.0026307681128868</v>
      </c>
      <c r="U13" s="216"/>
      <c r="V13" s="216"/>
      <c r="W13" s="216"/>
      <c r="X13" s="216"/>
      <c r="Y13" s="216"/>
      <c r="Z13" s="216"/>
    </row>
    <row r="14" spans="1:26" s="81" customFormat="1" ht="30" customHeight="1">
      <c r="A14" s="152">
        <v>4</v>
      </c>
      <c r="B14" s="66" t="s">
        <v>329</v>
      </c>
      <c r="C14" s="37">
        <f t="shared" si="3"/>
        <v>351603</v>
      </c>
      <c r="D14" s="37">
        <v>351603</v>
      </c>
      <c r="E14" s="37">
        <f t="shared" si="4"/>
        <v>0</v>
      </c>
      <c r="F14" s="37"/>
      <c r="G14" s="37"/>
      <c r="H14" s="37"/>
      <c r="I14" s="37"/>
      <c r="J14" s="37"/>
      <c r="K14" s="27">
        <f t="shared" si="5"/>
        <v>487323.65075000003</v>
      </c>
      <c r="L14" s="27">
        <v>352356.57565</v>
      </c>
      <c r="M14" s="27">
        <f t="shared" si="6"/>
        <v>134967.0751</v>
      </c>
      <c r="N14" s="27">
        <f>18222.69712+4709.03832</f>
        <v>22931.73544</v>
      </c>
      <c r="O14" s="27">
        <f t="shared" si="7"/>
        <v>112035.33965999998</v>
      </c>
      <c r="P14" s="27">
        <v>35510.896</v>
      </c>
      <c r="Q14" s="27">
        <f>36676.448+8896</f>
        <v>45572.448</v>
      </c>
      <c r="R14" s="27">
        <f>49883.7311+4000</f>
        <v>53883.7311</v>
      </c>
      <c r="S14" s="31">
        <f t="shared" si="8"/>
        <v>1.3860053832020773</v>
      </c>
      <c r="T14" s="31">
        <f t="shared" si="8"/>
        <v>1.0021432571678854</v>
      </c>
      <c r="U14" s="216"/>
      <c r="V14" s="216"/>
      <c r="W14" s="216"/>
      <c r="X14" s="216"/>
      <c r="Y14" s="216"/>
      <c r="Z14" s="216"/>
    </row>
    <row r="15" spans="1:26" s="81" customFormat="1" ht="30" customHeight="1">
      <c r="A15" s="152">
        <v>5</v>
      </c>
      <c r="B15" s="66" t="s">
        <v>330</v>
      </c>
      <c r="C15" s="37">
        <f t="shared" si="3"/>
        <v>322417</v>
      </c>
      <c r="D15" s="37">
        <v>322417</v>
      </c>
      <c r="E15" s="37">
        <f t="shared" si="4"/>
        <v>0</v>
      </c>
      <c r="F15" s="37"/>
      <c r="G15" s="37"/>
      <c r="H15" s="37"/>
      <c r="I15" s="37"/>
      <c r="J15" s="37"/>
      <c r="K15" s="27">
        <f t="shared" si="5"/>
        <v>469281.86557599995</v>
      </c>
      <c r="L15" s="27">
        <v>323285.346721</v>
      </c>
      <c r="M15" s="27">
        <f t="shared" si="6"/>
        <v>145996.518855</v>
      </c>
      <c r="N15" s="27">
        <f>18102.261164+5186.25032</f>
        <v>23288.511484</v>
      </c>
      <c r="O15" s="27">
        <f t="shared" si="7"/>
        <v>122708.007371</v>
      </c>
      <c r="P15" s="27">
        <v>36780.884</v>
      </c>
      <c r="Q15" s="27">
        <f>38389.14+7359</f>
        <v>45748.14</v>
      </c>
      <c r="R15" s="27">
        <f>59467.494855+4000</f>
        <v>63467.494855</v>
      </c>
      <c r="S15" s="31">
        <f t="shared" si="8"/>
        <v>1.4555121646067049</v>
      </c>
      <c r="T15" s="31">
        <f t="shared" si="8"/>
        <v>1.0026932411163183</v>
      </c>
      <c r="U15" s="216"/>
      <c r="V15" s="216"/>
      <c r="W15" s="216"/>
      <c r="X15" s="216"/>
      <c r="Y15" s="216"/>
      <c r="Z15" s="216"/>
    </row>
    <row r="16" spans="1:26" s="81" customFormat="1" ht="30" customHeight="1">
      <c r="A16" s="152">
        <v>6</v>
      </c>
      <c r="B16" s="66" t="s">
        <v>331</v>
      </c>
      <c r="C16" s="37">
        <f t="shared" si="3"/>
        <v>362644</v>
      </c>
      <c r="D16" s="37">
        <v>362644</v>
      </c>
      <c r="E16" s="37">
        <f t="shared" si="4"/>
        <v>0</v>
      </c>
      <c r="F16" s="37"/>
      <c r="G16" s="37"/>
      <c r="H16" s="37"/>
      <c r="I16" s="37"/>
      <c r="J16" s="37"/>
      <c r="K16" s="27">
        <f t="shared" si="5"/>
        <v>492311.427</v>
      </c>
      <c r="L16" s="27">
        <v>362644</v>
      </c>
      <c r="M16" s="27">
        <f t="shared" si="6"/>
        <v>129667.427</v>
      </c>
      <c r="N16" s="27"/>
      <c r="O16" s="27">
        <f t="shared" si="7"/>
        <v>129667.427</v>
      </c>
      <c r="P16" s="27">
        <v>6300</v>
      </c>
      <c r="Q16" s="27">
        <f>37242.09+18593</f>
        <v>55835.09</v>
      </c>
      <c r="R16" s="27">
        <v>67532.337</v>
      </c>
      <c r="S16" s="31">
        <f t="shared" si="8"/>
        <v>1.3575612087887847</v>
      </c>
      <c r="T16" s="31">
        <f t="shared" si="8"/>
        <v>1</v>
      </c>
      <c r="U16" s="216"/>
      <c r="V16" s="216"/>
      <c r="W16" s="216"/>
      <c r="X16" s="216"/>
      <c r="Y16" s="216"/>
      <c r="Z16" s="216"/>
    </row>
    <row r="17" spans="1:26" s="81" customFormat="1" ht="30" customHeight="1">
      <c r="A17" s="152">
        <v>7</v>
      </c>
      <c r="B17" s="66" t="s">
        <v>332</v>
      </c>
      <c r="C17" s="37">
        <f t="shared" si="3"/>
        <v>440740</v>
      </c>
      <c r="D17" s="37">
        <v>440740</v>
      </c>
      <c r="E17" s="37">
        <f t="shared" si="4"/>
        <v>0</v>
      </c>
      <c r="F17" s="37"/>
      <c r="G17" s="37"/>
      <c r="H17" s="37"/>
      <c r="I17" s="37"/>
      <c r="J17" s="37"/>
      <c r="K17" s="27">
        <f t="shared" si="5"/>
        <v>634994.109198</v>
      </c>
      <c r="L17" s="27">
        <v>441700.520198</v>
      </c>
      <c r="M17" s="27">
        <f t="shared" si="6"/>
        <v>193293.589</v>
      </c>
      <c r="N17" s="27">
        <f>22507.28743+936.310535</f>
        <v>23443.597965</v>
      </c>
      <c r="O17" s="27">
        <f t="shared" si="7"/>
        <v>169849.991035</v>
      </c>
      <c r="P17" s="27">
        <v>30136.608</v>
      </c>
      <c r="Q17" s="27">
        <f>50162.981+12341</f>
        <v>62503.981</v>
      </c>
      <c r="R17" s="27">
        <v>100653</v>
      </c>
      <c r="S17" s="31">
        <f t="shared" si="8"/>
        <v>1.4407453582565686</v>
      </c>
      <c r="T17" s="31">
        <f t="shared" si="8"/>
        <v>1.002179335204429</v>
      </c>
      <c r="U17" s="216"/>
      <c r="V17" s="216"/>
      <c r="W17" s="216"/>
      <c r="X17" s="216"/>
      <c r="Y17" s="216"/>
      <c r="Z17" s="216"/>
    </row>
    <row r="18" spans="1:26" s="81" customFormat="1" ht="30" customHeight="1">
      <c r="A18" s="152">
        <v>8</v>
      </c>
      <c r="B18" s="66" t="s">
        <v>251</v>
      </c>
      <c r="C18" s="37">
        <f t="shared" si="3"/>
        <v>194213</v>
      </c>
      <c r="D18" s="37">
        <v>194213</v>
      </c>
      <c r="E18" s="37">
        <f t="shared" si="4"/>
        <v>0</v>
      </c>
      <c r="F18" s="37"/>
      <c r="G18" s="37"/>
      <c r="H18" s="37"/>
      <c r="I18" s="37"/>
      <c r="J18" s="37"/>
      <c r="K18" s="27">
        <f t="shared" si="5"/>
        <v>248449.34</v>
      </c>
      <c r="L18" s="27">
        <v>199115</v>
      </c>
      <c r="M18" s="27">
        <f t="shared" si="6"/>
        <v>49334.34</v>
      </c>
      <c r="N18" s="27"/>
      <c r="O18" s="27">
        <f t="shared" si="7"/>
        <v>49334.34</v>
      </c>
      <c r="P18" s="27">
        <v>3100</v>
      </c>
      <c r="Q18" s="27">
        <f>38181.34+6621</f>
        <v>44802.34</v>
      </c>
      <c r="R18" s="27">
        <v>1432</v>
      </c>
      <c r="S18" s="31">
        <f t="shared" si="8"/>
        <v>1.2792621503194945</v>
      </c>
      <c r="T18" s="31">
        <f t="shared" si="8"/>
        <v>1.0252403289172198</v>
      </c>
      <c r="U18" s="216"/>
      <c r="V18" s="216"/>
      <c r="W18" s="216"/>
      <c r="X18" s="216"/>
      <c r="Y18" s="216"/>
      <c r="Z18" s="216"/>
    </row>
    <row r="19" spans="1:26" s="81" customFormat="1" ht="30" customHeight="1">
      <c r="A19" s="152">
        <v>9</v>
      </c>
      <c r="B19" s="66" t="s">
        <v>334</v>
      </c>
      <c r="C19" s="37">
        <f t="shared" si="3"/>
        <v>105908</v>
      </c>
      <c r="D19" s="37">
        <v>105908</v>
      </c>
      <c r="E19" s="37">
        <f t="shared" si="4"/>
        <v>0</v>
      </c>
      <c r="F19" s="37"/>
      <c r="G19" s="37"/>
      <c r="H19" s="37"/>
      <c r="I19" s="37"/>
      <c r="J19" s="37"/>
      <c r="K19" s="27">
        <f t="shared" si="5"/>
        <v>119727.57</v>
      </c>
      <c r="L19" s="27">
        <v>105908</v>
      </c>
      <c r="M19" s="27">
        <f t="shared" si="6"/>
        <v>13819.57</v>
      </c>
      <c r="N19" s="27"/>
      <c r="O19" s="27">
        <f t="shared" si="7"/>
        <v>13819.57</v>
      </c>
      <c r="P19" s="27">
        <v>3300</v>
      </c>
      <c r="Q19" s="27">
        <f>7573.57+1671</f>
        <v>9244.57</v>
      </c>
      <c r="R19" s="27">
        <v>1275</v>
      </c>
      <c r="S19" s="31">
        <f t="shared" si="8"/>
        <v>1.130486554367942</v>
      </c>
      <c r="T19" s="31">
        <f t="shared" si="8"/>
        <v>1</v>
      </c>
      <c r="U19" s="216"/>
      <c r="V19" s="216"/>
      <c r="W19" s="216"/>
      <c r="X19" s="216"/>
      <c r="Y19" s="216"/>
      <c r="Z19" s="216"/>
    </row>
    <row r="20" spans="1:26" s="81" customFormat="1" ht="30" customHeight="1">
      <c r="A20" s="152">
        <v>10</v>
      </c>
      <c r="B20" s="66" t="s">
        <v>335</v>
      </c>
      <c r="C20" s="37">
        <f t="shared" si="3"/>
        <v>396330</v>
      </c>
      <c r="D20" s="37">
        <v>396330</v>
      </c>
      <c r="E20" s="37">
        <f t="shared" si="4"/>
        <v>0</v>
      </c>
      <c r="F20" s="37"/>
      <c r="G20" s="37"/>
      <c r="H20" s="37"/>
      <c r="I20" s="37"/>
      <c r="J20" s="37"/>
      <c r="K20" s="27">
        <f t="shared" si="5"/>
        <v>531327.980339</v>
      </c>
      <c r="L20" s="27">
        <v>396330</v>
      </c>
      <c r="M20" s="27">
        <f t="shared" si="6"/>
        <v>134997.980339</v>
      </c>
      <c r="N20" s="27"/>
      <c r="O20" s="27">
        <f t="shared" si="7"/>
        <v>134997.980339</v>
      </c>
      <c r="P20" s="27">
        <v>6300</v>
      </c>
      <c r="Q20" s="27">
        <f>39766.83+10582</f>
        <v>50348.83</v>
      </c>
      <c r="R20" s="27">
        <v>78349.150339</v>
      </c>
      <c r="S20" s="31">
        <f t="shared" si="8"/>
        <v>1.3406201406378524</v>
      </c>
      <c r="T20" s="31">
        <f t="shared" si="8"/>
        <v>1</v>
      </c>
      <c r="U20" s="216"/>
      <c r="V20" s="216"/>
      <c r="W20" s="216"/>
      <c r="X20" s="216"/>
      <c r="Y20" s="216"/>
      <c r="Z20" s="216"/>
    </row>
    <row r="21" spans="1:26" s="192" customFormat="1" ht="24.75" customHeight="1">
      <c r="A21" s="82"/>
      <c r="B21" s="83"/>
      <c r="C21" s="38"/>
      <c r="D21" s="38"/>
      <c r="E21" s="38"/>
      <c r="F21" s="38"/>
      <c r="G21" s="38"/>
      <c r="H21" s="38"/>
      <c r="I21" s="38"/>
      <c r="J21" s="38"/>
      <c r="K21" s="32"/>
      <c r="L21" s="32"/>
      <c r="M21" s="32"/>
      <c r="N21" s="32"/>
      <c r="O21" s="32"/>
      <c r="P21" s="32"/>
      <c r="Q21" s="32"/>
      <c r="R21" s="32"/>
      <c r="S21" s="32"/>
      <c r="T21" s="32"/>
      <c r="U21" s="32"/>
      <c r="V21" s="32"/>
      <c r="W21" s="32"/>
      <c r="X21" s="32"/>
      <c r="Y21" s="32"/>
      <c r="Z21" s="32"/>
    </row>
    <row r="22" spans="1:26" s="195" customFormat="1" ht="15.75">
      <c r="A22" s="19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row>
    <row r="23" s="195" customFormat="1" ht="15.75" hidden="1">
      <c r="A23" s="448" t="s">
        <v>75</v>
      </c>
    </row>
    <row r="24" spans="1:12" s="195" customFormat="1" ht="14.25" hidden="1">
      <c r="A24" s="449"/>
      <c r="K24" s="195">
        <v>5623135.743851</v>
      </c>
      <c r="L24" s="195">
        <v>4489925.157843</v>
      </c>
    </row>
    <row r="25" spans="1:12" s="195" customFormat="1" ht="14.25" hidden="1">
      <c r="A25" s="449"/>
      <c r="K25" s="196">
        <f>K10-K24</f>
        <v>-776450.2599980002</v>
      </c>
      <c r="L25" s="196">
        <f>L10-L24</f>
        <v>-878831.0063720001</v>
      </c>
    </row>
    <row r="26" spans="1:11" s="195" customFormat="1" ht="14.25" hidden="1">
      <c r="A26" s="449"/>
      <c r="K26" s="196">
        <f>L10+M10</f>
        <v>4846685.483853</v>
      </c>
    </row>
    <row r="27" s="195" customFormat="1" ht="14.25" hidden="1">
      <c r="A27" s="449"/>
    </row>
    <row r="28" spans="1:11" s="195" customFormat="1" ht="14.25" hidden="1">
      <c r="A28" s="449"/>
      <c r="J28" s="195" t="s">
        <v>73</v>
      </c>
      <c r="K28" s="197">
        <v>52875.735815</v>
      </c>
    </row>
    <row r="29" spans="1:11" s="195" customFormat="1" ht="14.25" hidden="1">
      <c r="A29" s="449"/>
      <c r="J29" s="195" t="s">
        <v>74</v>
      </c>
      <c r="K29" s="196">
        <v>488981.883781</v>
      </c>
    </row>
    <row r="30" spans="1:11" s="195" customFormat="1" ht="14.25" hidden="1">
      <c r="A30" s="449"/>
      <c r="K30" s="197">
        <f>K28+K29</f>
        <v>541857.619596</v>
      </c>
    </row>
    <row r="31" s="195" customFormat="1" ht="14.25">
      <c r="A31" s="449"/>
    </row>
    <row r="32" ht="14.25">
      <c r="L32" s="19"/>
    </row>
  </sheetData>
  <sheetProtection/>
  <mergeCells count="31">
    <mergeCell ref="B5:B8"/>
    <mergeCell ref="A5:A8"/>
    <mergeCell ref="S5:Z5"/>
    <mergeCell ref="J7:J8"/>
    <mergeCell ref="S6:S8"/>
    <mergeCell ref="T6:T8"/>
    <mergeCell ref="Z7:Z8"/>
    <mergeCell ref="D6:D8"/>
    <mergeCell ref="C6:C8"/>
    <mergeCell ref="U7:U8"/>
    <mergeCell ref="Y7:Y8"/>
    <mergeCell ref="K5:R5"/>
    <mergeCell ref="M6:R6"/>
    <mergeCell ref="E7:E8"/>
    <mergeCell ref="A3:Y3"/>
    <mergeCell ref="X7:X8"/>
    <mergeCell ref="I7:I8"/>
    <mergeCell ref="L6:L8"/>
    <mergeCell ref="U6:Z6"/>
    <mergeCell ref="A2:Z2"/>
    <mergeCell ref="N7:O7"/>
    <mergeCell ref="P7:P8"/>
    <mergeCell ref="Q7:Q8"/>
    <mergeCell ref="R7:R8"/>
    <mergeCell ref="V7:W7"/>
    <mergeCell ref="C5:J5"/>
    <mergeCell ref="E6:J6"/>
    <mergeCell ref="H7:H8"/>
    <mergeCell ref="K6:K8"/>
    <mergeCell ref="F7:G7"/>
    <mergeCell ref="M7:M8"/>
  </mergeCells>
  <printOptions horizontalCentered="1"/>
  <pageMargins left="0" right="0" top="0.511811023622047" bottom="0" header="0.31496062992126" footer="0.31496062992126"/>
  <pageSetup horizontalDpi="300" verticalDpi="300" orientation="landscape" paperSize="9" scale="52" r:id="rId1"/>
</worksheet>
</file>

<file path=xl/worksheets/sheet19.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E10" sqref="E10"/>
    </sheetView>
  </sheetViews>
  <sheetFormatPr defaultColWidth="9.00390625" defaultRowHeight="14.25"/>
  <cols>
    <col min="1" max="1" width="6.25390625" style="0" customWidth="1"/>
    <col min="2" max="2" width="24.00390625" style="0" customWidth="1"/>
    <col min="3" max="3" width="17.875" style="0" customWidth="1"/>
    <col min="4" max="4" width="15.125" style="0" customWidth="1"/>
    <col min="5" max="5" width="16.375" style="0" customWidth="1"/>
    <col min="6" max="6" width="10.00390625" style="0" customWidth="1"/>
    <col min="7" max="7" width="15.00390625" style="0" customWidth="1"/>
    <col min="8" max="8" width="14.375" style="0" customWidth="1"/>
    <col min="10" max="10" width="11.75390625" style="0" bestFit="1" customWidth="1"/>
    <col min="11" max="11" width="17.75390625" style="0" customWidth="1"/>
  </cols>
  <sheetData>
    <row r="1" spans="7:8" ht="27.75" customHeight="1">
      <c r="G1" s="719" t="s">
        <v>39</v>
      </c>
      <c r="H1" s="719"/>
    </row>
    <row r="2" spans="1:8" ht="35.25" customHeight="1">
      <c r="A2" s="640" t="s">
        <v>639</v>
      </c>
      <c r="B2" s="640"/>
      <c r="C2" s="640"/>
      <c r="D2" s="640"/>
      <c r="E2" s="640"/>
      <c r="F2" s="640"/>
      <c r="G2" s="640"/>
      <c r="H2" s="640"/>
    </row>
    <row r="3" spans="1:15" ht="18.75">
      <c r="A3" s="597" t="s">
        <v>680</v>
      </c>
      <c r="B3" s="597"/>
      <c r="C3" s="597"/>
      <c r="D3" s="597"/>
      <c r="E3" s="597"/>
      <c r="F3" s="597"/>
      <c r="G3" s="597"/>
      <c r="H3" s="597"/>
      <c r="I3" s="559"/>
      <c r="J3" s="559"/>
      <c r="K3" s="559"/>
      <c r="L3" s="559"/>
      <c r="M3" s="559"/>
      <c r="N3" s="559"/>
      <c r="O3" s="559"/>
    </row>
    <row r="4" spans="7:8" ht="15.75">
      <c r="G4" s="720" t="s">
        <v>48</v>
      </c>
      <c r="H4" s="720"/>
    </row>
    <row r="5" spans="1:8" ht="15.75">
      <c r="A5" s="642" t="s">
        <v>43</v>
      </c>
      <c r="B5" s="642" t="s">
        <v>71</v>
      </c>
      <c r="C5" s="642" t="s">
        <v>40</v>
      </c>
      <c r="D5" s="642" t="s">
        <v>72</v>
      </c>
      <c r="E5" s="642"/>
      <c r="F5" s="642"/>
      <c r="G5" s="642"/>
      <c r="H5" s="642"/>
    </row>
    <row r="6" spans="1:8" ht="63">
      <c r="A6" s="642"/>
      <c r="B6" s="642"/>
      <c r="C6" s="642"/>
      <c r="D6" s="4" t="s">
        <v>41</v>
      </c>
      <c r="E6" s="4" t="s">
        <v>2</v>
      </c>
      <c r="F6" s="4" t="s">
        <v>3</v>
      </c>
      <c r="G6" s="4" t="s">
        <v>538</v>
      </c>
      <c r="H6" s="4" t="s">
        <v>42</v>
      </c>
    </row>
    <row r="7" spans="1:8" ht="15.75">
      <c r="A7" s="3" t="s">
        <v>45</v>
      </c>
      <c r="B7" s="3" t="s">
        <v>46</v>
      </c>
      <c r="C7" s="3">
        <v>1</v>
      </c>
      <c r="D7" s="3">
        <v>2</v>
      </c>
      <c r="E7" s="3">
        <v>3</v>
      </c>
      <c r="F7" s="3">
        <v>4</v>
      </c>
      <c r="G7" s="3">
        <v>5</v>
      </c>
      <c r="H7" s="3">
        <v>6</v>
      </c>
    </row>
    <row r="8" spans="1:11" ht="23.25" customHeight="1">
      <c r="A8" s="198"/>
      <c r="B8" s="199" t="s">
        <v>68</v>
      </c>
      <c r="C8" s="232">
        <f aca="true" t="shared" si="0" ref="C8:H8">SUM(C9:C18)</f>
        <v>5732973.607538999</v>
      </c>
      <c r="D8" s="232">
        <f t="shared" si="0"/>
        <v>442421.70691099996</v>
      </c>
      <c r="E8" s="232">
        <f t="shared" si="0"/>
        <v>4846685.483853</v>
      </c>
      <c r="F8" s="232">
        <f t="shared" si="0"/>
        <v>0</v>
      </c>
      <c r="G8" s="232">
        <f t="shared" si="0"/>
        <v>420564.96449300006</v>
      </c>
      <c r="H8" s="232">
        <f t="shared" si="0"/>
        <v>3677.3259829999997</v>
      </c>
      <c r="J8" s="19"/>
      <c r="K8" s="19"/>
    </row>
    <row r="9" spans="1:11" ht="30" customHeight="1">
      <c r="A9" s="238">
        <v>1</v>
      </c>
      <c r="B9" s="200" t="s">
        <v>328</v>
      </c>
      <c r="C9" s="233">
        <v>961943.804401</v>
      </c>
      <c r="D9" s="233">
        <f>61816.792044+34834.824424</f>
        <v>96651.616468</v>
      </c>
      <c r="E9" s="233">
        <v>819235.187088</v>
      </c>
      <c r="F9" s="233"/>
      <c r="G9" s="233">
        <v>27413.039841</v>
      </c>
      <c r="H9" s="233">
        <v>816.948522</v>
      </c>
      <c r="J9" s="19"/>
      <c r="K9" s="19"/>
    </row>
    <row r="10" spans="1:11" ht="30" customHeight="1">
      <c r="A10" s="239">
        <v>2</v>
      </c>
      <c r="B10" s="190" t="s">
        <v>326</v>
      </c>
      <c r="C10" s="234">
        <v>708187.348831</v>
      </c>
      <c r="D10" s="234">
        <f>40478.315089+6449.506584</f>
        <v>46927.821673000006</v>
      </c>
      <c r="E10" s="234">
        <v>625071.353</v>
      </c>
      <c r="F10" s="234"/>
      <c r="G10" s="234">
        <v>35575.804</v>
      </c>
      <c r="H10" s="234">
        <v>441.380295</v>
      </c>
      <c r="J10" s="19"/>
      <c r="K10" s="19"/>
    </row>
    <row r="11" spans="1:11" ht="30" customHeight="1">
      <c r="A11" s="239">
        <v>3</v>
      </c>
      <c r="B11" s="190" t="s">
        <v>327</v>
      </c>
      <c r="C11" s="234">
        <v>446988.173659</v>
      </c>
      <c r="D11" s="234">
        <v>12830.637717</v>
      </c>
      <c r="E11" s="234">
        <v>418963.000902</v>
      </c>
      <c r="F11" s="234"/>
      <c r="G11" s="234">
        <v>15019.762441</v>
      </c>
      <c r="H11" s="234">
        <v>113.361377</v>
      </c>
      <c r="J11" s="19"/>
      <c r="K11" s="19"/>
    </row>
    <row r="12" spans="1:11" ht="30" customHeight="1">
      <c r="A12" s="239">
        <v>4</v>
      </c>
      <c r="B12" s="190" t="s">
        <v>329</v>
      </c>
      <c r="C12" s="234">
        <v>536058.942672</v>
      </c>
      <c r="D12" s="234">
        <v>29120.58374</v>
      </c>
      <c r="E12" s="234">
        <v>487323.65075000003</v>
      </c>
      <c r="F12" s="234"/>
      <c r="G12" s="234">
        <v>19076.845284</v>
      </c>
      <c r="H12" s="234">
        <v>458.019865</v>
      </c>
      <c r="J12" s="19"/>
      <c r="K12" s="19"/>
    </row>
    <row r="13" spans="1:11" ht="30" customHeight="1">
      <c r="A13" s="239">
        <v>5</v>
      </c>
      <c r="B13" s="190" t="s">
        <v>330</v>
      </c>
      <c r="C13" s="234">
        <v>508925.986027</v>
      </c>
      <c r="D13" s="234">
        <v>14753.676472</v>
      </c>
      <c r="E13" s="234">
        <v>469281.86557599995</v>
      </c>
      <c r="F13" s="234"/>
      <c r="G13" s="234">
        <v>24309.415542</v>
      </c>
      <c r="H13" s="234">
        <v>451.417703</v>
      </c>
      <c r="J13" s="19"/>
      <c r="K13" s="19"/>
    </row>
    <row r="14" spans="1:11" ht="30" customHeight="1">
      <c r="A14" s="239">
        <v>6</v>
      </c>
      <c r="B14" s="190" t="s">
        <v>331</v>
      </c>
      <c r="C14" s="234">
        <v>628611.241006</v>
      </c>
      <c r="D14" s="234">
        <v>19258.552045</v>
      </c>
      <c r="E14" s="234">
        <v>492311.427</v>
      </c>
      <c r="F14" s="234"/>
      <c r="G14" s="234">
        <v>115708.655961</v>
      </c>
      <c r="H14" s="234"/>
      <c r="J14" s="19"/>
      <c r="K14" s="19"/>
    </row>
    <row r="15" spans="1:11" ht="30" customHeight="1">
      <c r="A15" s="239">
        <v>7</v>
      </c>
      <c r="B15" s="190" t="s">
        <v>332</v>
      </c>
      <c r="C15" s="234">
        <v>696281.828426</v>
      </c>
      <c r="D15" s="234">
        <f>15389.302151+487</f>
        <v>15876.302151</v>
      </c>
      <c r="E15" s="234">
        <v>634994.109198</v>
      </c>
      <c r="F15" s="234"/>
      <c r="G15" s="234">
        <v>45063.831881</v>
      </c>
      <c r="H15" s="234">
        <v>324.932231</v>
      </c>
      <c r="J15" s="19"/>
      <c r="K15" s="19"/>
    </row>
    <row r="16" spans="1:11" ht="30" customHeight="1">
      <c r="A16" s="239">
        <v>8</v>
      </c>
      <c r="B16" s="190" t="s">
        <v>333</v>
      </c>
      <c r="C16" s="234">
        <v>541090.125402</v>
      </c>
      <c r="D16" s="234">
        <f>186322.569896+9268.411069</f>
        <v>195590.980965</v>
      </c>
      <c r="E16" s="234">
        <v>248449.34</v>
      </c>
      <c r="F16" s="234"/>
      <c r="G16" s="234">
        <v>95978.538447</v>
      </c>
      <c r="H16" s="234">
        <v>1071.26599</v>
      </c>
      <c r="J16" s="19"/>
      <c r="K16" s="19"/>
    </row>
    <row r="17" spans="1:11" ht="30" customHeight="1">
      <c r="A17" s="239">
        <v>9</v>
      </c>
      <c r="B17" s="190" t="s">
        <v>334</v>
      </c>
      <c r="C17" s="234">
        <v>132220.10476</v>
      </c>
      <c r="D17" s="234">
        <v>5645.602991</v>
      </c>
      <c r="E17" s="234">
        <v>119727.57</v>
      </c>
      <c r="F17" s="234"/>
      <c r="G17" s="234">
        <v>6846.931769</v>
      </c>
      <c r="H17" s="234"/>
      <c r="J17" s="19"/>
      <c r="K17" s="19"/>
    </row>
    <row r="18" spans="1:11" ht="30" customHeight="1">
      <c r="A18" s="239">
        <v>10</v>
      </c>
      <c r="B18" s="190" t="s">
        <v>335</v>
      </c>
      <c r="C18" s="234">
        <v>572666.052355</v>
      </c>
      <c r="D18" s="234">
        <v>5765.932689</v>
      </c>
      <c r="E18" s="234">
        <v>531327.980339</v>
      </c>
      <c r="F18" s="234"/>
      <c r="G18" s="234">
        <v>35572.139327</v>
      </c>
      <c r="H18" s="234"/>
      <c r="J18" s="19"/>
      <c r="K18" s="19"/>
    </row>
    <row r="19" spans="1:8" ht="16.5">
      <c r="A19" s="201"/>
      <c r="B19" s="202"/>
      <c r="C19" s="201"/>
      <c r="D19" s="201"/>
      <c r="E19" s="201"/>
      <c r="F19" s="201"/>
      <c r="G19" s="201"/>
      <c r="H19" s="201"/>
    </row>
    <row r="20" spans="3:8" ht="14.25" hidden="1">
      <c r="C20">
        <v>5628370.607539</v>
      </c>
      <c r="D20">
        <f>429193.875111+13227.8318</f>
        <v>442421.70691099996</v>
      </c>
      <c r="E20">
        <v>4742082.484888</v>
      </c>
      <c r="G20">
        <v>420564.964493</v>
      </c>
      <c r="H20">
        <v>3677.325983</v>
      </c>
    </row>
    <row r="21" spans="3:8" ht="14.25" hidden="1">
      <c r="C21" s="19">
        <f aca="true" t="shared" si="1" ref="C21:H21">C8-C20</f>
        <v>104602.99999999907</v>
      </c>
      <c r="D21" s="19">
        <f t="shared" si="1"/>
        <v>0</v>
      </c>
      <c r="E21" s="19">
        <f t="shared" si="1"/>
        <v>104602.9989649998</v>
      </c>
      <c r="F21" s="19">
        <f t="shared" si="1"/>
        <v>0</v>
      </c>
      <c r="G21" s="19">
        <f t="shared" si="1"/>
        <v>0</v>
      </c>
      <c r="H21" s="19">
        <f t="shared" si="1"/>
        <v>0</v>
      </c>
    </row>
  </sheetData>
  <sheetProtection/>
  <mergeCells count="8">
    <mergeCell ref="G1:H1"/>
    <mergeCell ref="A2:H2"/>
    <mergeCell ref="A3:H3"/>
    <mergeCell ref="A5:A6"/>
    <mergeCell ref="B5:B6"/>
    <mergeCell ref="C5:C6"/>
    <mergeCell ref="D5:H5"/>
    <mergeCell ref="G4:H4"/>
  </mergeCells>
  <printOptions horizontalCentered="1"/>
  <pageMargins left="0" right="0" top="0.36" bottom="0" header="0.31496062992126" footer="0.31496062992126"/>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J56"/>
  <sheetViews>
    <sheetView zoomScale="70" zoomScaleNormal="70" zoomScalePageLayoutView="0" workbookViewId="0" topLeftCell="A1">
      <selection activeCell="J9" sqref="J9"/>
    </sheetView>
  </sheetViews>
  <sheetFormatPr defaultColWidth="9.00390625" defaultRowHeight="14.25"/>
  <cols>
    <col min="1" max="1" width="4.75390625" style="470" customWidth="1"/>
    <col min="2" max="2" width="47.875" style="470" customWidth="1"/>
    <col min="3" max="3" width="16.625" style="470" customWidth="1"/>
    <col min="4" max="4" width="16.50390625" style="470" customWidth="1"/>
    <col min="5" max="5" width="16.25390625" style="470" customWidth="1"/>
    <col min="6" max="6" width="14.125" style="470" customWidth="1"/>
    <col min="7" max="7" width="9.75390625" style="470" customWidth="1"/>
    <col min="8" max="16384" width="9.00390625" style="470" customWidth="1"/>
  </cols>
  <sheetData>
    <row r="1" spans="1:6" s="469" customFormat="1" ht="16.5">
      <c r="A1" s="584"/>
      <c r="B1" s="584"/>
      <c r="F1" s="334" t="s">
        <v>666</v>
      </c>
    </row>
    <row r="2" spans="1:2" ht="15.75">
      <c r="A2" s="585"/>
      <c r="B2" s="585"/>
    </row>
    <row r="3" spans="1:6" ht="18.75">
      <c r="A3" s="586" t="s">
        <v>667</v>
      </c>
      <c r="B3" s="586"/>
      <c r="C3" s="586"/>
      <c r="D3" s="586"/>
      <c r="E3" s="586"/>
      <c r="F3" s="586"/>
    </row>
    <row r="4" spans="1:6" ht="24.75" customHeight="1">
      <c r="A4" s="569" t="s">
        <v>680</v>
      </c>
      <c r="B4" s="569"/>
      <c r="C4" s="569"/>
      <c r="D4" s="569"/>
      <c r="E4" s="569"/>
      <c r="F4" s="569"/>
    </row>
    <row r="5" spans="4:6" ht="15.75">
      <c r="D5" s="471"/>
      <c r="E5" s="570" t="s">
        <v>48</v>
      </c>
      <c r="F5" s="570"/>
    </row>
    <row r="6" spans="1:6" ht="24" customHeight="1">
      <c r="A6" s="587" t="s">
        <v>668</v>
      </c>
      <c r="B6" s="587" t="s">
        <v>130</v>
      </c>
      <c r="C6" s="573" t="s">
        <v>652</v>
      </c>
      <c r="D6" s="575" t="s">
        <v>653</v>
      </c>
      <c r="E6" s="563" t="s">
        <v>654</v>
      </c>
      <c r="F6" s="578" t="s">
        <v>642</v>
      </c>
    </row>
    <row r="7" spans="1:6" ht="39.75" customHeight="1">
      <c r="A7" s="587"/>
      <c r="B7" s="587"/>
      <c r="C7" s="574"/>
      <c r="D7" s="576"/>
      <c r="E7" s="564"/>
      <c r="F7" s="578"/>
    </row>
    <row r="8" spans="1:6" s="472" customFormat="1" ht="12.75" customHeight="1">
      <c r="A8" s="295" t="s">
        <v>45</v>
      </c>
      <c r="B8" s="295" t="s">
        <v>46</v>
      </c>
      <c r="C8" s="295">
        <v>1</v>
      </c>
      <c r="D8" s="295">
        <v>2</v>
      </c>
      <c r="E8" s="295" t="s">
        <v>655</v>
      </c>
      <c r="F8" s="295">
        <v>4</v>
      </c>
    </row>
    <row r="9" spans="1:10" ht="24.75" customHeight="1">
      <c r="A9" s="296"/>
      <c r="B9" s="296" t="s">
        <v>68</v>
      </c>
      <c r="C9" s="366">
        <f>SUM(C10,C27,C28,C42,C43,C44)</f>
        <v>10386677.602113</v>
      </c>
      <c r="D9" s="366">
        <f>SUM(D10,D27,D28,D42,D43,D44)</f>
        <v>116355.96907299977</v>
      </c>
      <c r="E9" s="366">
        <v>10503034</v>
      </c>
      <c r="F9" s="473"/>
      <c r="G9" s="474"/>
      <c r="J9" s="474"/>
    </row>
    <row r="10" spans="1:7" ht="24.75" customHeight="1">
      <c r="A10" s="301" t="s">
        <v>54</v>
      </c>
      <c r="B10" s="302" t="s">
        <v>561</v>
      </c>
      <c r="C10" s="369">
        <f>SUM(C11,C25,C26)</f>
        <v>1995365</v>
      </c>
      <c r="D10" s="369">
        <f>SUM(D11,D25,D26)</f>
        <v>0</v>
      </c>
      <c r="E10" s="369">
        <v>1995365</v>
      </c>
      <c r="F10" s="475"/>
      <c r="G10" s="476"/>
    </row>
    <row r="11" spans="1:7" ht="43.5" customHeight="1">
      <c r="A11" s="301">
        <v>1</v>
      </c>
      <c r="B11" s="302" t="s">
        <v>135</v>
      </c>
      <c r="C11" s="369">
        <f>SUM(C12:C24)</f>
        <v>1992515</v>
      </c>
      <c r="D11" s="369">
        <f>SUM(D12:D24)</f>
        <v>0</v>
      </c>
      <c r="E11" s="369">
        <f>SUM(E12:E24)</f>
        <v>1992515</v>
      </c>
      <c r="F11" s="477"/>
      <c r="G11" s="476"/>
    </row>
    <row r="12" spans="1:6" ht="24.75" customHeight="1">
      <c r="A12" s="306" t="s">
        <v>582</v>
      </c>
      <c r="B12" s="307" t="s">
        <v>300</v>
      </c>
      <c r="C12" s="300">
        <v>41404</v>
      </c>
      <c r="D12" s="300"/>
      <c r="E12" s="300">
        <v>41404</v>
      </c>
      <c r="F12" s="478"/>
    </row>
    <row r="13" spans="1:6" ht="24.75" customHeight="1">
      <c r="A13" s="306" t="s">
        <v>584</v>
      </c>
      <c r="B13" s="307" t="s">
        <v>301</v>
      </c>
      <c r="C13" s="300">
        <v>5953</v>
      </c>
      <c r="D13" s="300"/>
      <c r="E13" s="300">
        <v>5953</v>
      </c>
      <c r="F13" s="478"/>
    </row>
    <row r="14" spans="1:6" ht="24.75" customHeight="1">
      <c r="A14" s="306" t="s">
        <v>586</v>
      </c>
      <c r="B14" s="307" t="s">
        <v>136</v>
      </c>
      <c r="C14" s="300">
        <v>317434</v>
      </c>
      <c r="D14" s="300"/>
      <c r="E14" s="300">
        <v>317434</v>
      </c>
      <c r="F14" s="478"/>
    </row>
    <row r="15" spans="1:6" ht="24.75" customHeight="1">
      <c r="A15" s="306" t="s">
        <v>596</v>
      </c>
      <c r="B15" s="307" t="s">
        <v>137</v>
      </c>
      <c r="C15" s="300">
        <v>8629</v>
      </c>
      <c r="D15" s="300"/>
      <c r="E15" s="300">
        <v>8629</v>
      </c>
      <c r="F15" s="478"/>
    </row>
    <row r="16" spans="1:6" ht="24.75" customHeight="1">
      <c r="A16" s="306" t="s">
        <v>598</v>
      </c>
      <c r="B16" s="307" t="s">
        <v>138</v>
      </c>
      <c r="C16" s="300">
        <v>30158</v>
      </c>
      <c r="D16" s="300"/>
      <c r="E16" s="300">
        <v>30158</v>
      </c>
      <c r="F16" s="478"/>
    </row>
    <row r="17" spans="1:6" ht="24.75" customHeight="1">
      <c r="A17" s="306" t="s">
        <v>139</v>
      </c>
      <c r="B17" s="307" t="s">
        <v>140</v>
      </c>
      <c r="C17" s="300">
        <v>21509</v>
      </c>
      <c r="D17" s="300"/>
      <c r="E17" s="300">
        <v>21509</v>
      </c>
      <c r="F17" s="478"/>
    </row>
    <row r="18" spans="1:6" ht="24.75" customHeight="1">
      <c r="A18" s="306" t="s">
        <v>141</v>
      </c>
      <c r="B18" s="307" t="s">
        <v>142</v>
      </c>
      <c r="C18" s="300">
        <v>1955</v>
      </c>
      <c r="D18" s="300"/>
      <c r="E18" s="300">
        <v>1955</v>
      </c>
      <c r="F18" s="478"/>
    </row>
    <row r="19" spans="1:6" ht="24.75" customHeight="1">
      <c r="A19" s="306" t="s">
        <v>143</v>
      </c>
      <c r="B19" s="307" t="s">
        <v>144</v>
      </c>
      <c r="C19" s="300">
        <v>6679</v>
      </c>
      <c r="D19" s="300"/>
      <c r="E19" s="300">
        <v>6679</v>
      </c>
      <c r="F19" s="478"/>
    </row>
    <row r="20" spans="1:6" ht="24.75" customHeight="1">
      <c r="A20" s="306" t="s">
        <v>145</v>
      </c>
      <c r="B20" s="307" t="s">
        <v>146</v>
      </c>
      <c r="C20" s="300">
        <v>30572</v>
      </c>
      <c r="D20" s="300"/>
      <c r="E20" s="300">
        <v>30572</v>
      </c>
      <c r="F20" s="478"/>
    </row>
    <row r="21" spans="1:6" ht="24.75" customHeight="1">
      <c r="A21" s="306" t="s">
        <v>147</v>
      </c>
      <c r="B21" s="307" t="s">
        <v>307</v>
      </c>
      <c r="C21" s="300">
        <v>1292474</v>
      </c>
      <c r="D21" s="300"/>
      <c r="E21" s="300">
        <v>1292474</v>
      </c>
      <c r="F21" s="478"/>
    </row>
    <row r="22" spans="1:6" ht="34.5" customHeight="1">
      <c r="A22" s="306" t="s">
        <v>148</v>
      </c>
      <c r="B22" s="307" t="s">
        <v>149</v>
      </c>
      <c r="C22" s="300">
        <v>143699</v>
      </c>
      <c r="D22" s="300"/>
      <c r="E22" s="300">
        <v>143699</v>
      </c>
      <c r="F22" s="478"/>
    </row>
    <row r="23" spans="1:6" ht="24.75" customHeight="1">
      <c r="A23" s="306" t="s">
        <v>150</v>
      </c>
      <c r="B23" s="307" t="s">
        <v>151</v>
      </c>
      <c r="C23" s="300">
        <v>368</v>
      </c>
      <c r="D23" s="300"/>
      <c r="E23" s="300">
        <v>368</v>
      </c>
      <c r="F23" s="478"/>
    </row>
    <row r="24" spans="1:6" ht="24.75" customHeight="1">
      <c r="A24" s="306" t="s">
        <v>152</v>
      </c>
      <c r="B24" s="307" t="s">
        <v>153</v>
      </c>
      <c r="C24" s="300">
        <v>91681</v>
      </c>
      <c r="D24" s="300"/>
      <c r="E24" s="300">
        <v>91681</v>
      </c>
      <c r="F24" s="478"/>
    </row>
    <row r="25" spans="1:6" ht="31.5">
      <c r="A25" s="301">
        <v>2</v>
      </c>
      <c r="B25" s="302" t="s">
        <v>154</v>
      </c>
      <c r="C25" s="369">
        <v>2350</v>
      </c>
      <c r="D25" s="300"/>
      <c r="E25" s="369">
        <v>2350</v>
      </c>
      <c r="F25" s="478"/>
    </row>
    <row r="26" spans="1:7" ht="24.75" customHeight="1">
      <c r="A26" s="301">
        <v>3</v>
      </c>
      <c r="B26" s="302" t="s">
        <v>574</v>
      </c>
      <c r="C26" s="369">
        <v>500</v>
      </c>
      <c r="D26" s="369"/>
      <c r="E26" s="369">
        <v>500</v>
      </c>
      <c r="F26" s="477"/>
      <c r="G26" s="476"/>
    </row>
    <row r="27" spans="1:7" ht="24.75" customHeight="1">
      <c r="A27" s="301" t="s">
        <v>50</v>
      </c>
      <c r="B27" s="302" t="s">
        <v>155</v>
      </c>
      <c r="C27" s="369">
        <v>1681.227623</v>
      </c>
      <c r="D27" s="300"/>
      <c r="E27" s="369">
        <v>1681.227623</v>
      </c>
      <c r="F27" s="478"/>
      <c r="G27" s="476"/>
    </row>
    <row r="28" spans="1:7" ht="24.75" customHeight="1">
      <c r="A28" s="301" t="s">
        <v>51</v>
      </c>
      <c r="B28" s="302" t="s">
        <v>58</v>
      </c>
      <c r="C28" s="369">
        <f>SUM(C29:C41)</f>
        <v>6450133.107348</v>
      </c>
      <c r="D28" s="369">
        <f>SUM(D29:D41)</f>
        <v>109242.16865299977</v>
      </c>
      <c r="E28" s="369">
        <v>6559375</v>
      </c>
      <c r="F28" s="479"/>
      <c r="G28" s="476"/>
    </row>
    <row r="29" spans="1:7" ht="24.75" customHeight="1">
      <c r="A29" s="306" t="s">
        <v>156</v>
      </c>
      <c r="B29" s="307" t="s">
        <v>300</v>
      </c>
      <c r="C29" s="300">
        <v>152615.645299</v>
      </c>
      <c r="D29" s="300">
        <v>267</v>
      </c>
      <c r="E29" s="300">
        <f>C29+D29</f>
        <v>152882.645299</v>
      </c>
      <c r="F29" s="478"/>
      <c r="G29" s="476"/>
    </row>
    <row r="30" spans="1:6" ht="24.75" customHeight="1">
      <c r="A30" s="306" t="s">
        <v>157</v>
      </c>
      <c r="B30" s="307" t="s">
        <v>301</v>
      </c>
      <c r="C30" s="300">
        <v>55841.183844</v>
      </c>
      <c r="D30" s="300">
        <v>210</v>
      </c>
      <c r="E30" s="300">
        <f aca="true" t="shared" si="0" ref="E30:E41">C30+D30</f>
        <v>56051.183844</v>
      </c>
      <c r="F30" s="478"/>
    </row>
    <row r="31" spans="1:6" ht="24.75" customHeight="1">
      <c r="A31" s="306" t="s">
        <v>158</v>
      </c>
      <c r="B31" s="307" t="s">
        <v>136</v>
      </c>
      <c r="C31" s="300">
        <v>3082557.661395</v>
      </c>
      <c r="D31" s="300">
        <v>82276.88826199982</v>
      </c>
      <c r="E31" s="300">
        <f t="shared" si="0"/>
        <v>3164834.5496569998</v>
      </c>
      <c r="F31" s="478"/>
    </row>
    <row r="32" spans="1:6" ht="24.75" customHeight="1">
      <c r="A32" s="306" t="s">
        <v>159</v>
      </c>
      <c r="B32" s="307" t="s">
        <v>137</v>
      </c>
      <c r="C32" s="300">
        <v>14413.096657</v>
      </c>
      <c r="D32" s="300">
        <v>0</v>
      </c>
      <c r="E32" s="300">
        <f t="shared" si="0"/>
        <v>14413.096657</v>
      </c>
      <c r="F32" s="478"/>
    </row>
    <row r="33" spans="1:6" ht="24.75" customHeight="1">
      <c r="A33" s="306" t="s">
        <v>160</v>
      </c>
      <c r="B33" s="307" t="s">
        <v>138</v>
      </c>
      <c r="C33" s="300">
        <v>662595.304995</v>
      </c>
      <c r="D33" s="300">
        <v>0</v>
      </c>
      <c r="E33" s="300">
        <f t="shared" si="0"/>
        <v>662595.304995</v>
      </c>
      <c r="F33" s="478"/>
    </row>
    <row r="34" spans="1:6" ht="24.75" customHeight="1">
      <c r="A34" s="306" t="s">
        <v>161</v>
      </c>
      <c r="B34" s="307" t="s">
        <v>140</v>
      </c>
      <c r="C34" s="300">
        <v>86483.701575</v>
      </c>
      <c r="D34" s="300">
        <v>451</v>
      </c>
      <c r="E34" s="300">
        <f t="shared" si="0"/>
        <v>86934.701575</v>
      </c>
      <c r="F34" s="478"/>
    </row>
    <row r="35" spans="1:6" ht="24.75" customHeight="1">
      <c r="A35" s="306" t="s">
        <v>162</v>
      </c>
      <c r="B35" s="307" t="s">
        <v>142</v>
      </c>
      <c r="C35" s="300">
        <v>45211.865332999994</v>
      </c>
      <c r="D35" s="300">
        <v>236</v>
      </c>
      <c r="E35" s="300">
        <f t="shared" si="0"/>
        <v>45447.865332999994</v>
      </c>
      <c r="F35" s="478"/>
    </row>
    <row r="36" spans="1:6" ht="24.75" customHeight="1">
      <c r="A36" s="306" t="s">
        <v>163</v>
      </c>
      <c r="B36" s="307" t="s">
        <v>144</v>
      </c>
      <c r="C36" s="300">
        <v>20040.774578</v>
      </c>
      <c r="D36" s="300">
        <v>58</v>
      </c>
      <c r="E36" s="300">
        <f t="shared" si="0"/>
        <v>20098.774578</v>
      </c>
      <c r="F36" s="478"/>
    </row>
    <row r="37" spans="1:6" s="310" customFormat="1" ht="24.75" customHeight="1">
      <c r="A37" s="42" t="s">
        <v>164</v>
      </c>
      <c r="B37" s="43" t="s">
        <v>146</v>
      </c>
      <c r="C37" s="300">
        <v>69495.182143</v>
      </c>
      <c r="D37" s="381">
        <v>54.00000000000364</v>
      </c>
      <c r="E37" s="300">
        <f t="shared" si="0"/>
        <v>69549.182143</v>
      </c>
      <c r="F37" s="480"/>
    </row>
    <row r="38" spans="1:6" ht="24.75" customHeight="1">
      <c r="A38" s="306" t="s">
        <v>165</v>
      </c>
      <c r="B38" s="307" t="s">
        <v>307</v>
      </c>
      <c r="C38" s="300">
        <v>796171.3361140001</v>
      </c>
      <c r="D38" s="300">
        <v>682.9969999999739</v>
      </c>
      <c r="E38" s="300">
        <f t="shared" si="0"/>
        <v>796854.333114</v>
      </c>
      <c r="F38" s="478"/>
    </row>
    <row r="39" spans="1:6" ht="36" customHeight="1">
      <c r="A39" s="306" t="s">
        <v>166</v>
      </c>
      <c r="B39" s="307" t="s">
        <v>149</v>
      </c>
      <c r="C39" s="300">
        <v>1246794.138577</v>
      </c>
      <c r="D39" s="300">
        <v>24465.253390999977</v>
      </c>
      <c r="E39" s="300">
        <f t="shared" si="0"/>
        <v>1271259.391968</v>
      </c>
      <c r="F39" s="478"/>
    </row>
    <row r="40" spans="1:6" ht="24.75" customHeight="1">
      <c r="A40" s="306" t="s">
        <v>167</v>
      </c>
      <c r="B40" s="307" t="s">
        <v>151</v>
      </c>
      <c r="C40" s="300">
        <v>204540.697946</v>
      </c>
      <c r="D40" s="300">
        <v>541.0299999999916</v>
      </c>
      <c r="E40" s="300">
        <f t="shared" si="0"/>
        <v>205081.727946</v>
      </c>
      <c r="F40" s="478"/>
    </row>
    <row r="41" spans="1:6" ht="24.75" customHeight="1">
      <c r="A41" s="306" t="s">
        <v>168</v>
      </c>
      <c r="B41" s="307" t="s">
        <v>169</v>
      </c>
      <c r="C41" s="300">
        <v>13372.518891999998</v>
      </c>
      <c r="D41" s="300">
        <v>0</v>
      </c>
      <c r="E41" s="300">
        <f t="shared" si="0"/>
        <v>13372.518891999998</v>
      </c>
      <c r="F41" s="478"/>
    </row>
    <row r="42" spans="1:6" ht="24.75" customHeight="1">
      <c r="A42" s="301" t="s">
        <v>52</v>
      </c>
      <c r="B42" s="302" t="s">
        <v>539</v>
      </c>
      <c r="C42" s="369">
        <v>1000</v>
      </c>
      <c r="D42" s="369"/>
      <c r="E42" s="369">
        <v>1000</v>
      </c>
      <c r="F42" s="478"/>
    </row>
    <row r="43" spans="1:7" s="310" customFormat="1" ht="24.75" customHeight="1">
      <c r="A43" s="44" t="s">
        <v>66</v>
      </c>
      <c r="B43" s="45" t="s">
        <v>172</v>
      </c>
      <c r="C43" s="378">
        <v>1765989.20658</v>
      </c>
      <c r="D43" s="378">
        <f>E43-C43</f>
        <v>5742.793420000002</v>
      </c>
      <c r="E43" s="378">
        <v>1771732</v>
      </c>
      <c r="F43" s="480"/>
      <c r="G43" s="315"/>
    </row>
    <row r="44" spans="1:7" s="310" customFormat="1" ht="24.75" customHeight="1">
      <c r="A44" s="44" t="s">
        <v>575</v>
      </c>
      <c r="B44" s="45" t="s">
        <v>669</v>
      </c>
      <c r="C44" s="378">
        <v>172509.060562</v>
      </c>
      <c r="D44" s="378">
        <v>1371.007</v>
      </c>
      <c r="E44" s="378">
        <v>173880</v>
      </c>
      <c r="F44" s="350"/>
      <c r="G44" s="315"/>
    </row>
    <row r="45" spans="1:7" ht="24.75" customHeight="1">
      <c r="A45" s="47"/>
      <c r="B45" s="317"/>
      <c r="C45" s="481"/>
      <c r="D45" s="481"/>
      <c r="E45" s="481"/>
      <c r="F45" s="481"/>
      <c r="G45" s="476"/>
    </row>
    <row r="46" ht="15.75">
      <c r="A46" s="482"/>
    </row>
    <row r="47" spans="1:6" s="483" customFormat="1" ht="15.75" customHeight="1">
      <c r="A47" s="589"/>
      <c r="B47" s="589"/>
      <c r="C47" s="589"/>
      <c r="D47" s="589"/>
      <c r="E47" s="590"/>
      <c r="F47" s="590"/>
    </row>
    <row r="48" spans="1:6" ht="29.25" customHeight="1">
      <c r="A48" s="591"/>
      <c r="B48" s="591"/>
      <c r="C48" s="591"/>
      <c r="D48" s="591"/>
      <c r="E48" s="592"/>
      <c r="F48" s="592"/>
    </row>
    <row r="49" spans="1:6" ht="15.75">
      <c r="A49" s="588"/>
      <c r="B49" s="588"/>
      <c r="C49" s="588"/>
      <c r="D49" s="588"/>
      <c r="F49" s="451"/>
    </row>
    <row r="50" spans="1:6" ht="15.75">
      <c r="A50" s="451"/>
      <c r="B50" s="451"/>
      <c r="C50" s="451"/>
      <c r="D50" s="451"/>
      <c r="F50" s="451"/>
    </row>
    <row r="51" spans="1:6" ht="15.75">
      <c r="A51" s="451"/>
      <c r="B51" s="451"/>
      <c r="C51" s="451"/>
      <c r="D51" s="451"/>
      <c r="F51" s="451"/>
    </row>
    <row r="52" spans="1:6" ht="26.25" customHeight="1">
      <c r="A52" s="451"/>
      <c r="B52" s="451"/>
      <c r="C52" s="451"/>
      <c r="D52" s="451"/>
      <c r="F52" s="451"/>
    </row>
    <row r="53" spans="1:6" ht="15.75">
      <c r="A53" s="484"/>
      <c r="D53" s="471"/>
      <c r="E53" s="471"/>
      <c r="F53" s="471"/>
    </row>
    <row r="54" ht="15.75">
      <c r="A54" s="485"/>
    </row>
    <row r="55" ht="15.75">
      <c r="A55" s="485"/>
    </row>
    <row r="56" ht="15.75">
      <c r="A56" s="485"/>
    </row>
  </sheetData>
  <sheetProtection/>
  <mergeCells count="19">
    <mergeCell ref="F6:F7"/>
    <mergeCell ref="A49:B49"/>
    <mergeCell ref="C49:D49"/>
    <mergeCell ref="A47:B47"/>
    <mergeCell ref="C47:D47"/>
    <mergeCell ref="E47:F47"/>
    <mergeCell ref="A48:B48"/>
    <mergeCell ref="C48:D48"/>
    <mergeCell ref="E48:F48"/>
    <mergeCell ref="A1:B1"/>
    <mergeCell ref="A2:B2"/>
    <mergeCell ref="A3:F3"/>
    <mergeCell ref="A4:F4"/>
    <mergeCell ref="E5:F5"/>
    <mergeCell ref="A6:A7"/>
    <mergeCell ref="B6:B7"/>
    <mergeCell ref="C6:C7"/>
    <mergeCell ref="D6:D7"/>
    <mergeCell ref="E6:E7"/>
  </mergeCells>
  <printOptions horizontalCentered="1"/>
  <pageMargins left="0" right="0" top="0" bottom="0" header="0.5" footer="0.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R83"/>
  <sheetViews>
    <sheetView zoomScalePageLayoutView="0" workbookViewId="0" topLeftCell="A1">
      <selection activeCell="A3" sqref="A3:O3"/>
    </sheetView>
  </sheetViews>
  <sheetFormatPr defaultColWidth="9.625" defaultRowHeight="14.25"/>
  <cols>
    <col min="1" max="1" width="4.875" style="505" customWidth="1"/>
    <col min="2" max="2" width="35.125" style="522" customWidth="1"/>
    <col min="3" max="3" width="10.75390625" style="505" customWidth="1"/>
    <col min="4" max="4" width="10.375" style="505" customWidth="1"/>
    <col min="5" max="5" width="9.625" style="505" hidden="1" customWidth="1"/>
    <col min="6" max="6" width="9.125" style="505" customWidth="1"/>
    <col min="7" max="7" width="9.375" style="505" customWidth="1"/>
    <col min="8" max="8" width="11.00390625" style="505" hidden="1" customWidth="1"/>
    <col min="9" max="9" width="9.25390625" style="505" customWidth="1"/>
    <col min="10" max="10" width="9.75390625" style="505" customWidth="1"/>
    <col min="11" max="11" width="8.75390625" style="505" customWidth="1"/>
    <col min="12" max="12" width="8.125" style="505" customWidth="1"/>
    <col min="13" max="13" width="7.875" style="505" customWidth="1"/>
    <col min="14" max="14" width="10.75390625" style="505" customWidth="1"/>
    <col min="15" max="15" width="9.125" style="505" customWidth="1"/>
    <col min="16" max="16" width="12.375" style="505" customWidth="1"/>
    <col min="17" max="17" width="8.00390625" style="505" customWidth="1"/>
    <col min="18" max="18" width="12.375" style="505" bestFit="1" customWidth="1"/>
    <col min="19" max="250" width="8.00390625" style="505" customWidth="1"/>
    <col min="251" max="251" width="4.875" style="505" customWidth="1"/>
    <col min="252" max="252" width="25.125" style="505" customWidth="1"/>
    <col min="253" max="253" width="9.875" style="505" customWidth="1"/>
    <col min="254" max="254" width="17.375" style="505" customWidth="1"/>
    <col min="255" max="255" width="10.375" style="505" customWidth="1"/>
    <col min="256" max="16384" width="9.625" style="505" customWidth="1"/>
  </cols>
  <sheetData>
    <row r="1" spans="1:15" s="489" customFormat="1" ht="15">
      <c r="A1" s="486"/>
      <c r="B1" s="487"/>
      <c r="C1" s="488"/>
      <c r="D1" s="488"/>
      <c r="E1" s="488"/>
      <c r="F1" s="488"/>
      <c r="G1" s="488"/>
      <c r="H1" s="488"/>
      <c r="I1" s="488"/>
      <c r="J1" s="488"/>
      <c r="K1" s="488"/>
      <c r="L1" s="488"/>
      <c r="M1" s="488"/>
      <c r="N1" s="595" t="s">
        <v>670</v>
      </c>
      <c r="O1" s="595"/>
    </row>
    <row r="2" spans="1:15" s="489" customFormat="1" ht="18.75">
      <c r="A2" s="596" t="s">
        <v>671</v>
      </c>
      <c r="B2" s="596"/>
      <c r="C2" s="596"/>
      <c r="D2" s="596"/>
      <c r="E2" s="596"/>
      <c r="F2" s="596"/>
      <c r="G2" s="596"/>
      <c r="H2" s="596"/>
      <c r="I2" s="596"/>
      <c r="J2" s="596"/>
      <c r="K2" s="596"/>
      <c r="L2" s="596"/>
      <c r="M2" s="596"/>
      <c r="N2" s="596"/>
      <c r="O2" s="596"/>
    </row>
    <row r="3" spans="1:15" s="489" customFormat="1" ht="18.75">
      <c r="A3" s="597" t="s">
        <v>680</v>
      </c>
      <c r="B3" s="597"/>
      <c r="C3" s="597"/>
      <c r="D3" s="597"/>
      <c r="E3" s="597"/>
      <c r="F3" s="597"/>
      <c r="G3" s="597"/>
      <c r="H3" s="597"/>
      <c r="I3" s="597"/>
      <c r="J3" s="597"/>
      <c r="K3" s="597"/>
      <c r="L3" s="597"/>
      <c r="M3" s="597"/>
      <c r="N3" s="597"/>
      <c r="O3" s="597"/>
    </row>
    <row r="4" spans="1:15" s="489" customFormat="1" ht="18.75">
      <c r="A4" s="490"/>
      <c r="B4" s="490"/>
      <c r="C4" s="490"/>
      <c r="D4" s="490"/>
      <c r="E4" s="490"/>
      <c r="F4" s="490"/>
      <c r="G4" s="490"/>
      <c r="H4" s="490"/>
      <c r="I4" s="490"/>
      <c r="J4" s="490"/>
      <c r="K4" s="490"/>
      <c r="L4" s="490"/>
      <c r="M4" s="490"/>
      <c r="N4" s="598" t="s">
        <v>269</v>
      </c>
      <c r="O4" s="598"/>
    </row>
    <row r="5" spans="1:15" s="491" customFormat="1" ht="24" customHeight="1">
      <c r="A5" s="599" t="s">
        <v>43</v>
      </c>
      <c r="B5" s="599" t="s">
        <v>257</v>
      </c>
      <c r="C5" s="599" t="s">
        <v>67</v>
      </c>
      <c r="D5" s="602" t="s">
        <v>72</v>
      </c>
      <c r="E5" s="603"/>
      <c r="F5" s="603"/>
      <c r="G5" s="603"/>
      <c r="H5" s="603"/>
      <c r="I5" s="603"/>
      <c r="J5" s="603"/>
      <c r="K5" s="603"/>
      <c r="L5" s="603"/>
      <c r="M5" s="603"/>
      <c r="N5" s="603"/>
      <c r="O5" s="604"/>
    </row>
    <row r="6" spans="1:15" s="491" customFormat="1" ht="80.25" customHeight="1" hidden="1">
      <c r="A6" s="600"/>
      <c r="B6" s="600"/>
      <c r="C6" s="600"/>
      <c r="D6" s="605"/>
      <c r="E6" s="606"/>
      <c r="F6" s="606"/>
      <c r="G6" s="606"/>
      <c r="H6" s="606"/>
      <c r="I6" s="606"/>
      <c r="J6" s="606"/>
      <c r="K6" s="606"/>
      <c r="L6" s="606"/>
      <c r="M6" s="606"/>
      <c r="N6" s="606"/>
      <c r="O6" s="606"/>
    </row>
    <row r="7" spans="1:15" s="492" customFormat="1" ht="16.5" customHeight="1">
      <c r="A7" s="600"/>
      <c r="B7" s="600"/>
      <c r="C7" s="600"/>
      <c r="D7" s="593" t="s">
        <v>572</v>
      </c>
      <c r="E7" s="593" t="s">
        <v>573</v>
      </c>
      <c r="F7" s="593" t="s">
        <v>300</v>
      </c>
      <c r="G7" s="593" t="s">
        <v>301</v>
      </c>
      <c r="H7" s="593" t="s">
        <v>302</v>
      </c>
      <c r="I7" s="593" t="s">
        <v>303</v>
      </c>
      <c r="J7" s="593" t="s">
        <v>304</v>
      </c>
      <c r="K7" s="593" t="s">
        <v>305</v>
      </c>
      <c r="L7" s="593" t="s">
        <v>306</v>
      </c>
      <c r="M7" s="593" t="s">
        <v>307</v>
      </c>
      <c r="N7" s="593" t="s">
        <v>308</v>
      </c>
      <c r="O7" s="593" t="s">
        <v>309</v>
      </c>
    </row>
    <row r="8" spans="1:15" s="492" customFormat="1" ht="60" customHeight="1">
      <c r="A8" s="601"/>
      <c r="B8" s="601"/>
      <c r="C8" s="601"/>
      <c r="D8" s="594"/>
      <c r="E8" s="594"/>
      <c r="F8" s="594"/>
      <c r="G8" s="594"/>
      <c r="H8" s="594"/>
      <c r="I8" s="594"/>
      <c r="J8" s="594"/>
      <c r="K8" s="594"/>
      <c r="L8" s="594"/>
      <c r="M8" s="594"/>
      <c r="N8" s="594"/>
      <c r="O8" s="594"/>
    </row>
    <row r="9" spans="1:17" s="492" customFormat="1" ht="30.75" customHeight="1">
      <c r="A9" s="493"/>
      <c r="B9" s="493" t="s">
        <v>67</v>
      </c>
      <c r="C9" s="494">
        <f>SUM(C10,C72)</f>
        <v>109241.90429299991</v>
      </c>
      <c r="D9" s="495">
        <f>'[2]Biểu chi'!D32</f>
        <v>82276.888262</v>
      </c>
      <c r="E9" s="495"/>
      <c r="F9" s="495">
        <f>'[2]Biểu chi'!D30</f>
        <v>266.52560500000004</v>
      </c>
      <c r="G9" s="495">
        <f>'[2]Biểu chi'!D31</f>
        <v>210.210035</v>
      </c>
      <c r="H9" s="495"/>
      <c r="I9" s="495">
        <f>'[2]Biểu chi'!D35</f>
        <v>451</v>
      </c>
      <c r="J9" s="495">
        <f>'[2]Biểu chi'!D36</f>
        <v>236</v>
      </c>
      <c r="K9" s="495">
        <f>'[2]Biểu chi'!D37</f>
        <v>58</v>
      </c>
      <c r="L9" s="495">
        <f>'[2]Biểu chi'!D38</f>
        <v>54</v>
      </c>
      <c r="M9" s="495">
        <f>'[2]Biểu chi'!D39</f>
        <v>682.997</v>
      </c>
      <c r="N9" s="495">
        <f>'[2]Biểu chi'!D40</f>
        <v>24465.253391</v>
      </c>
      <c r="O9" s="495">
        <f>'[2]Biểu chi'!D41</f>
        <v>541.03</v>
      </c>
      <c r="P9" s="496"/>
      <c r="Q9" s="496"/>
    </row>
    <row r="10" spans="1:15" s="499" customFormat="1" ht="24.75" customHeight="1">
      <c r="A10" s="497" t="s">
        <v>45</v>
      </c>
      <c r="B10" s="497" t="s">
        <v>672</v>
      </c>
      <c r="C10" s="498">
        <f aca="true" t="shared" si="0" ref="C10:O10">SUM(C11,C58)</f>
        <v>18295.498521</v>
      </c>
      <c r="D10" s="498">
        <f t="shared" si="0"/>
        <v>12027.254294</v>
      </c>
      <c r="E10" s="498">
        <f t="shared" si="0"/>
        <v>0</v>
      </c>
      <c r="F10" s="498">
        <f t="shared" si="0"/>
        <v>0</v>
      </c>
      <c r="G10" s="498">
        <f t="shared" si="0"/>
        <v>0</v>
      </c>
      <c r="H10" s="498">
        <f t="shared" si="0"/>
        <v>0</v>
      </c>
      <c r="I10" s="498">
        <f t="shared" si="0"/>
        <v>351</v>
      </c>
      <c r="J10" s="498">
        <f t="shared" si="0"/>
        <v>155</v>
      </c>
      <c r="K10" s="498">
        <f t="shared" si="0"/>
        <v>58</v>
      </c>
      <c r="L10" s="498">
        <f t="shared" si="0"/>
        <v>24</v>
      </c>
      <c r="M10" s="498">
        <f t="shared" si="0"/>
        <v>176.997</v>
      </c>
      <c r="N10" s="498">
        <f t="shared" si="0"/>
        <v>5240.247227</v>
      </c>
      <c r="O10" s="498">
        <f t="shared" si="0"/>
        <v>263</v>
      </c>
    </row>
    <row r="11" spans="1:15" s="499" customFormat="1" ht="24.75" customHeight="1">
      <c r="A11" s="500" t="s">
        <v>54</v>
      </c>
      <c r="B11" s="501" t="s">
        <v>120</v>
      </c>
      <c r="C11" s="498">
        <f aca="true" t="shared" si="1" ref="C11:O11">SUM(C12:C57)</f>
        <v>18004.498521</v>
      </c>
      <c r="D11" s="498">
        <f t="shared" si="1"/>
        <v>12027.254294</v>
      </c>
      <c r="E11" s="498">
        <f t="shared" si="1"/>
        <v>0</v>
      </c>
      <c r="F11" s="498">
        <f t="shared" si="1"/>
        <v>0</v>
      </c>
      <c r="G11" s="498">
        <f t="shared" si="1"/>
        <v>0</v>
      </c>
      <c r="H11" s="498">
        <f t="shared" si="1"/>
        <v>0</v>
      </c>
      <c r="I11" s="498">
        <f t="shared" si="1"/>
        <v>351</v>
      </c>
      <c r="J11" s="498">
        <f t="shared" si="1"/>
        <v>155</v>
      </c>
      <c r="K11" s="498">
        <f t="shared" si="1"/>
        <v>58</v>
      </c>
      <c r="L11" s="498">
        <f t="shared" si="1"/>
        <v>24</v>
      </c>
      <c r="M11" s="498">
        <f t="shared" si="1"/>
        <v>176.997</v>
      </c>
      <c r="N11" s="498">
        <f t="shared" si="1"/>
        <v>4949.247227</v>
      </c>
      <c r="O11" s="498">
        <f t="shared" si="1"/>
        <v>263</v>
      </c>
    </row>
    <row r="12" spans="1:15" ht="24.75" customHeight="1">
      <c r="A12" s="502">
        <v>1</v>
      </c>
      <c r="B12" s="503" t="s">
        <v>190</v>
      </c>
      <c r="C12" s="504">
        <f aca="true" t="shared" si="2" ref="C12:C57">SUM(D12:M12,N12,O12:O12)</f>
        <v>1292</v>
      </c>
      <c r="D12" s="504"/>
      <c r="E12" s="504"/>
      <c r="F12" s="504"/>
      <c r="G12" s="504"/>
      <c r="H12" s="504"/>
      <c r="I12" s="504"/>
      <c r="J12" s="504"/>
      <c r="K12" s="504"/>
      <c r="L12" s="504"/>
      <c r="M12" s="504"/>
      <c r="N12" s="504">
        <f>1292</f>
        <v>1292</v>
      </c>
      <c r="O12" s="504"/>
    </row>
    <row r="13" spans="1:15" ht="24.75" customHeight="1">
      <c r="A13" s="502">
        <v>2</v>
      </c>
      <c r="B13" s="506" t="s">
        <v>454</v>
      </c>
      <c r="C13" s="504">
        <f t="shared" si="2"/>
        <v>196</v>
      </c>
      <c r="D13" s="504"/>
      <c r="E13" s="504"/>
      <c r="F13" s="504"/>
      <c r="G13" s="504"/>
      <c r="H13" s="504"/>
      <c r="I13" s="504"/>
      <c r="J13" s="504"/>
      <c r="K13" s="504"/>
      <c r="L13" s="504"/>
      <c r="M13" s="504">
        <f>21</f>
        <v>21</v>
      </c>
      <c r="N13" s="504">
        <f>175</f>
        <v>175</v>
      </c>
      <c r="O13" s="504"/>
    </row>
    <row r="14" spans="1:15" ht="24.75" customHeight="1" hidden="1">
      <c r="A14" s="502">
        <v>3</v>
      </c>
      <c r="B14" s="506" t="s">
        <v>455</v>
      </c>
      <c r="C14" s="504">
        <f t="shared" si="2"/>
        <v>0</v>
      </c>
      <c r="D14" s="504"/>
      <c r="E14" s="504"/>
      <c r="F14" s="504"/>
      <c r="G14" s="504"/>
      <c r="H14" s="504"/>
      <c r="I14" s="504"/>
      <c r="J14" s="504"/>
      <c r="K14" s="504"/>
      <c r="L14" s="504"/>
      <c r="M14" s="504"/>
      <c r="N14" s="504"/>
      <c r="O14" s="504"/>
    </row>
    <row r="15" spans="1:15" s="507" customFormat="1" ht="24.75" customHeight="1">
      <c r="A15" s="502">
        <v>4</v>
      </c>
      <c r="B15" s="506" t="s">
        <v>87</v>
      </c>
      <c r="C15" s="504">
        <f t="shared" si="2"/>
        <v>124</v>
      </c>
      <c r="D15" s="504"/>
      <c r="E15" s="504"/>
      <c r="F15" s="504"/>
      <c r="G15" s="504"/>
      <c r="H15" s="504"/>
      <c r="I15" s="504"/>
      <c r="J15" s="504"/>
      <c r="K15" s="504"/>
      <c r="L15" s="504"/>
      <c r="M15" s="504"/>
      <c r="N15" s="504">
        <f>124</f>
        <v>124</v>
      </c>
      <c r="O15" s="504"/>
    </row>
    <row r="16" spans="1:15" ht="24.75" customHeight="1">
      <c r="A16" s="502">
        <v>5</v>
      </c>
      <c r="B16" s="506" t="s">
        <v>415</v>
      </c>
      <c r="C16" s="504">
        <f t="shared" si="2"/>
        <v>541</v>
      </c>
      <c r="D16" s="504"/>
      <c r="E16" s="504"/>
      <c r="F16" s="504"/>
      <c r="G16" s="504"/>
      <c r="H16" s="504"/>
      <c r="I16" s="504">
        <f>332</f>
        <v>332</v>
      </c>
      <c r="J16" s="504"/>
      <c r="K16" s="504">
        <f>58</f>
        <v>58</v>
      </c>
      <c r="L16" s="504"/>
      <c r="M16" s="504">
        <f>17</f>
        <v>17</v>
      </c>
      <c r="N16" s="504">
        <f>134</f>
        <v>134</v>
      </c>
      <c r="O16" s="504"/>
    </row>
    <row r="17" spans="1:15" ht="24.75" customHeight="1">
      <c r="A17" s="502">
        <v>6</v>
      </c>
      <c r="B17" s="506" t="s">
        <v>182</v>
      </c>
      <c r="C17" s="504">
        <f t="shared" si="2"/>
        <v>30.997</v>
      </c>
      <c r="D17" s="504"/>
      <c r="E17" s="504"/>
      <c r="F17" s="504"/>
      <c r="G17" s="504"/>
      <c r="H17" s="504"/>
      <c r="I17" s="504"/>
      <c r="J17" s="504"/>
      <c r="K17" s="504"/>
      <c r="L17" s="504"/>
      <c r="M17" s="504">
        <f>30.997</f>
        <v>30.997</v>
      </c>
      <c r="N17" s="504"/>
      <c r="O17" s="504"/>
    </row>
    <row r="18" spans="1:15" ht="24.75" customHeight="1">
      <c r="A18" s="502">
        <v>7</v>
      </c>
      <c r="B18" s="506" t="s">
        <v>252</v>
      </c>
      <c r="C18" s="504">
        <f t="shared" si="2"/>
        <v>89</v>
      </c>
      <c r="D18" s="504"/>
      <c r="E18" s="504"/>
      <c r="F18" s="504"/>
      <c r="G18" s="504"/>
      <c r="H18" s="504"/>
      <c r="I18" s="504"/>
      <c r="J18" s="504"/>
      <c r="K18" s="504"/>
      <c r="L18" s="504"/>
      <c r="M18" s="504"/>
      <c r="N18" s="504">
        <f>89</f>
        <v>89</v>
      </c>
      <c r="O18" s="504"/>
    </row>
    <row r="19" spans="1:15" ht="24.75" customHeight="1">
      <c r="A19" s="502">
        <v>8</v>
      </c>
      <c r="B19" s="506" t="s">
        <v>187</v>
      </c>
      <c r="C19" s="504">
        <f t="shared" si="2"/>
        <v>236.44</v>
      </c>
      <c r="D19" s="504"/>
      <c r="E19" s="504"/>
      <c r="F19" s="504"/>
      <c r="G19" s="504"/>
      <c r="H19" s="504"/>
      <c r="I19" s="504"/>
      <c r="J19" s="504"/>
      <c r="K19" s="504"/>
      <c r="L19" s="504"/>
      <c r="M19" s="504">
        <f>14</f>
        <v>14</v>
      </c>
      <c r="N19" s="504">
        <f>222.44</f>
        <v>222.44</v>
      </c>
      <c r="O19" s="504"/>
    </row>
    <row r="20" spans="1:15" ht="24.75" customHeight="1">
      <c r="A20" s="502">
        <v>9</v>
      </c>
      <c r="B20" s="506" t="s">
        <v>180</v>
      </c>
      <c r="C20" s="504">
        <f t="shared" si="2"/>
        <v>60</v>
      </c>
      <c r="D20" s="504"/>
      <c r="E20" s="504"/>
      <c r="F20" s="504"/>
      <c r="G20" s="504"/>
      <c r="H20" s="504"/>
      <c r="I20" s="504"/>
      <c r="J20" s="504"/>
      <c r="K20" s="504"/>
      <c r="L20" s="504"/>
      <c r="M20" s="504"/>
      <c r="N20" s="504">
        <f>60</f>
        <v>60</v>
      </c>
      <c r="O20" s="504"/>
    </row>
    <row r="21" spans="1:15" ht="24.75" customHeight="1" hidden="1">
      <c r="A21" s="502">
        <v>10</v>
      </c>
      <c r="B21" s="506" t="s">
        <v>99</v>
      </c>
      <c r="C21" s="504">
        <f t="shared" si="2"/>
        <v>0</v>
      </c>
      <c r="D21" s="504"/>
      <c r="E21" s="504"/>
      <c r="F21" s="504"/>
      <c r="G21" s="504"/>
      <c r="H21" s="504"/>
      <c r="I21" s="504"/>
      <c r="J21" s="504"/>
      <c r="K21" s="504"/>
      <c r="L21" s="504"/>
      <c r="M21" s="504"/>
      <c r="N21" s="504"/>
      <c r="O21" s="504"/>
    </row>
    <row r="22" spans="1:15" ht="24.75" customHeight="1" hidden="1">
      <c r="A22" s="502">
        <v>11</v>
      </c>
      <c r="B22" s="506" t="s">
        <v>184</v>
      </c>
      <c r="C22" s="504">
        <f t="shared" si="2"/>
        <v>0</v>
      </c>
      <c r="D22" s="504"/>
      <c r="E22" s="504"/>
      <c r="F22" s="504"/>
      <c r="G22" s="504"/>
      <c r="H22" s="504"/>
      <c r="I22" s="504"/>
      <c r="J22" s="504"/>
      <c r="K22" s="504"/>
      <c r="L22" s="504"/>
      <c r="M22" s="504"/>
      <c r="N22" s="504"/>
      <c r="O22" s="504"/>
    </row>
    <row r="23" spans="1:15" ht="24.75" customHeight="1">
      <c r="A23" s="502">
        <v>12</v>
      </c>
      <c r="B23" s="506" t="s">
        <v>181</v>
      </c>
      <c r="C23" s="504">
        <f t="shared" si="2"/>
        <v>81</v>
      </c>
      <c r="D23" s="504"/>
      <c r="E23" s="504"/>
      <c r="F23" s="504"/>
      <c r="G23" s="504"/>
      <c r="H23" s="504"/>
      <c r="I23" s="504"/>
      <c r="J23" s="504"/>
      <c r="K23" s="504"/>
      <c r="L23" s="504"/>
      <c r="M23" s="504"/>
      <c r="N23" s="504">
        <f>81</f>
        <v>81</v>
      </c>
      <c r="O23" s="504"/>
    </row>
    <row r="24" spans="1:15" ht="24.75" customHeight="1">
      <c r="A24" s="502">
        <v>13</v>
      </c>
      <c r="B24" s="506" t="s">
        <v>183</v>
      </c>
      <c r="C24" s="504">
        <f t="shared" si="2"/>
        <v>252</v>
      </c>
      <c r="D24" s="504"/>
      <c r="E24" s="504"/>
      <c r="F24" s="504"/>
      <c r="G24" s="504"/>
      <c r="H24" s="504"/>
      <c r="I24" s="504"/>
      <c r="J24" s="504"/>
      <c r="K24" s="504"/>
      <c r="L24" s="504"/>
      <c r="M24" s="504"/>
      <c r="N24" s="504">
        <f>252</f>
        <v>252</v>
      </c>
      <c r="O24" s="504"/>
    </row>
    <row r="25" spans="1:15" ht="24.75" customHeight="1">
      <c r="A25" s="502">
        <v>14</v>
      </c>
      <c r="B25" s="506" t="s">
        <v>186</v>
      </c>
      <c r="C25" s="504">
        <f t="shared" si="2"/>
        <v>62</v>
      </c>
      <c r="D25" s="504"/>
      <c r="E25" s="504"/>
      <c r="F25" s="504"/>
      <c r="G25" s="504"/>
      <c r="H25" s="504"/>
      <c r="I25" s="504"/>
      <c r="J25" s="504"/>
      <c r="K25" s="504"/>
      <c r="L25" s="504"/>
      <c r="M25" s="504"/>
      <c r="N25" s="504">
        <f>62</f>
        <v>62</v>
      </c>
      <c r="O25" s="504"/>
    </row>
    <row r="26" spans="1:15" ht="24.75" customHeight="1">
      <c r="A26" s="502">
        <v>15</v>
      </c>
      <c r="B26" s="506" t="s">
        <v>108</v>
      </c>
      <c r="C26" s="504">
        <f t="shared" si="2"/>
        <v>283</v>
      </c>
      <c r="D26" s="504"/>
      <c r="E26" s="504"/>
      <c r="F26" s="504"/>
      <c r="G26" s="504"/>
      <c r="H26" s="504"/>
      <c r="I26" s="504"/>
      <c r="J26" s="504"/>
      <c r="K26" s="504"/>
      <c r="L26" s="504"/>
      <c r="M26" s="504"/>
      <c r="N26" s="504">
        <f>283</f>
        <v>283</v>
      </c>
      <c r="O26" s="504"/>
    </row>
    <row r="27" spans="1:15" ht="24.75" customHeight="1">
      <c r="A27" s="502">
        <v>16</v>
      </c>
      <c r="B27" s="506" t="s">
        <v>109</v>
      </c>
      <c r="C27" s="504">
        <f t="shared" si="2"/>
        <v>24</v>
      </c>
      <c r="D27" s="504"/>
      <c r="E27" s="504"/>
      <c r="F27" s="504"/>
      <c r="G27" s="504"/>
      <c r="H27" s="504"/>
      <c r="I27" s="504"/>
      <c r="J27" s="504"/>
      <c r="K27" s="504"/>
      <c r="L27" s="504">
        <f>24</f>
        <v>24</v>
      </c>
      <c r="M27" s="504"/>
      <c r="N27" s="504"/>
      <c r="O27" s="504"/>
    </row>
    <row r="28" spans="1:15" ht="24.75" customHeight="1">
      <c r="A28" s="502">
        <v>17</v>
      </c>
      <c r="B28" s="506" t="s">
        <v>78</v>
      </c>
      <c r="C28" s="504">
        <f t="shared" si="2"/>
        <v>11972.161338</v>
      </c>
      <c r="D28" s="504">
        <f>11773.477094</f>
        <v>11773.477094</v>
      </c>
      <c r="E28" s="504"/>
      <c r="F28" s="504"/>
      <c r="G28" s="504"/>
      <c r="H28" s="504"/>
      <c r="I28" s="504"/>
      <c r="J28" s="504"/>
      <c r="K28" s="504"/>
      <c r="L28" s="504"/>
      <c r="M28" s="504"/>
      <c r="N28" s="504">
        <f>198.684244</f>
        <v>198.684244</v>
      </c>
      <c r="O28" s="504"/>
    </row>
    <row r="29" spans="1:15" s="507" customFormat="1" ht="24.75" customHeight="1">
      <c r="A29" s="502">
        <v>18</v>
      </c>
      <c r="B29" s="506" t="s">
        <v>79</v>
      </c>
      <c r="C29" s="504">
        <f t="shared" si="2"/>
        <v>1270.39894</v>
      </c>
      <c r="D29" s="504"/>
      <c r="E29" s="504"/>
      <c r="F29" s="504"/>
      <c r="G29" s="504"/>
      <c r="H29" s="504"/>
      <c r="I29" s="504"/>
      <c r="J29" s="504"/>
      <c r="K29" s="504"/>
      <c r="L29" s="504"/>
      <c r="M29" s="504">
        <f>30+44</f>
        <v>74</v>
      </c>
      <c r="N29" s="504">
        <f>1196.39894</f>
        <v>1196.39894</v>
      </c>
      <c r="O29" s="504"/>
    </row>
    <row r="30" spans="1:18" ht="24.75" customHeight="1">
      <c r="A30" s="502">
        <v>19</v>
      </c>
      <c r="B30" s="506" t="s">
        <v>416</v>
      </c>
      <c r="C30" s="504">
        <f t="shared" si="2"/>
        <v>474</v>
      </c>
      <c r="D30" s="504">
        <f>35</f>
        <v>35</v>
      </c>
      <c r="E30" s="504"/>
      <c r="F30" s="504"/>
      <c r="G30" s="504"/>
      <c r="H30" s="504"/>
      <c r="I30" s="504"/>
      <c r="J30" s="504"/>
      <c r="K30" s="504"/>
      <c r="L30" s="504"/>
      <c r="M30" s="504"/>
      <c r="N30" s="504">
        <f>176</f>
        <v>176</v>
      </c>
      <c r="O30" s="504">
        <v>263</v>
      </c>
      <c r="P30" s="508"/>
      <c r="R30" s="508"/>
    </row>
    <row r="31" spans="1:15" ht="24.75" customHeight="1">
      <c r="A31" s="502">
        <v>20</v>
      </c>
      <c r="B31" s="506" t="s">
        <v>185</v>
      </c>
      <c r="C31" s="504">
        <f t="shared" si="2"/>
        <v>173</v>
      </c>
      <c r="D31" s="504">
        <f>173</f>
        <v>173</v>
      </c>
      <c r="E31" s="504"/>
      <c r="F31" s="504"/>
      <c r="G31" s="504"/>
      <c r="H31" s="504"/>
      <c r="I31" s="504"/>
      <c r="J31" s="504"/>
      <c r="K31" s="504"/>
      <c r="L31" s="504"/>
      <c r="M31" s="504"/>
      <c r="N31" s="504"/>
      <c r="O31" s="504"/>
    </row>
    <row r="32" spans="1:15" ht="24.75" customHeight="1">
      <c r="A32" s="502">
        <v>21</v>
      </c>
      <c r="B32" s="506" t="s">
        <v>89</v>
      </c>
      <c r="C32" s="504">
        <f t="shared" si="2"/>
        <v>155</v>
      </c>
      <c r="D32" s="504"/>
      <c r="E32" s="504"/>
      <c r="F32" s="504"/>
      <c r="G32" s="504"/>
      <c r="H32" s="504"/>
      <c r="I32" s="504"/>
      <c r="J32" s="504">
        <f>155</f>
        <v>155</v>
      </c>
      <c r="K32" s="504"/>
      <c r="L32" s="504"/>
      <c r="M32" s="504"/>
      <c r="N32" s="504"/>
      <c r="O32" s="504"/>
    </row>
    <row r="33" spans="1:15" ht="24.75" customHeight="1">
      <c r="A33" s="502">
        <v>22</v>
      </c>
      <c r="B33" s="506" t="s">
        <v>76</v>
      </c>
      <c r="C33" s="504">
        <f t="shared" si="2"/>
        <v>78</v>
      </c>
      <c r="D33" s="504"/>
      <c r="E33" s="504"/>
      <c r="F33" s="504"/>
      <c r="G33" s="504"/>
      <c r="H33" s="504"/>
      <c r="I33" s="504"/>
      <c r="J33" s="504"/>
      <c r="K33" s="504"/>
      <c r="L33" s="504"/>
      <c r="M33" s="504"/>
      <c r="N33" s="504">
        <f>78</f>
        <v>78</v>
      </c>
      <c r="O33" s="504"/>
    </row>
    <row r="34" spans="1:15" ht="24.75" customHeight="1">
      <c r="A34" s="502">
        <v>23</v>
      </c>
      <c r="B34" s="506" t="s">
        <v>188</v>
      </c>
      <c r="C34" s="504">
        <f t="shared" si="2"/>
        <v>160</v>
      </c>
      <c r="D34" s="504"/>
      <c r="E34" s="504"/>
      <c r="F34" s="504"/>
      <c r="G34" s="504"/>
      <c r="H34" s="504"/>
      <c r="I34" s="504"/>
      <c r="J34" s="504"/>
      <c r="K34" s="504"/>
      <c r="L34" s="504"/>
      <c r="M34" s="504"/>
      <c r="N34" s="504">
        <f>160</f>
        <v>160</v>
      </c>
      <c r="O34" s="504"/>
    </row>
    <row r="35" spans="1:15" ht="24.75" customHeight="1" hidden="1">
      <c r="A35" s="502">
        <v>24</v>
      </c>
      <c r="B35" s="506" t="s">
        <v>88</v>
      </c>
      <c r="C35" s="504">
        <f t="shared" si="2"/>
        <v>0</v>
      </c>
      <c r="D35" s="504"/>
      <c r="E35" s="504"/>
      <c r="F35" s="504"/>
      <c r="G35" s="504"/>
      <c r="H35" s="504"/>
      <c r="I35" s="504"/>
      <c r="J35" s="504"/>
      <c r="K35" s="504"/>
      <c r="L35" s="504"/>
      <c r="M35" s="504"/>
      <c r="N35" s="504"/>
      <c r="O35" s="504"/>
    </row>
    <row r="36" spans="1:15" ht="24.75" customHeight="1">
      <c r="A36" s="502">
        <v>25</v>
      </c>
      <c r="B36" s="506" t="s">
        <v>418</v>
      </c>
      <c r="C36" s="504">
        <f t="shared" si="2"/>
        <v>45.7772</v>
      </c>
      <c r="D36" s="504">
        <f>45.7772</f>
        <v>45.7772</v>
      </c>
      <c r="E36" s="504"/>
      <c r="F36" s="504"/>
      <c r="G36" s="504"/>
      <c r="H36" s="504"/>
      <c r="I36" s="504"/>
      <c r="J36" s="504"/>
      <c r="K36" s="504"/>
      <c r="L36" s="504"/>
      <c r="M36" s="504"/>
      <c r="N36" s="504"/>
      <c r="O36" s="504"/>
    </row>
    <row r="37" spans="1:15" ht="24.75" customHeight="1" hidden="1">
      <c r="A37" s="502">
        <v>26</v>
      </c>
      <c r="B37" s="506" t="s">
        <v>96</v>
      </c>
      <c r="C37" s="504">
        <f t="shared" si="2"/>
        <v>0</v>
      </c>
      <c r="D37" s="504"/>
      <c r="E37" s="504"/>
      <c r="F37" s="504"/>
      <c r="G37" s="504"/>
      <c r="H37" s="504"/>
      <c r="I37" s="504"/>
      <c r="J37" s="504"/>
      <c r="K37" s="504"/>
      <c r="L37" s="504"/>
      <c r="M37" s="504"/>
      <c r="N37" s="504"/>
      <c r="O37" s="504"/>
    </row>
    <row r="38" spans="1:15" ht="24.75" customHeight="1">
      <c r="A38" s="502">
        <v>27</v>
      </c>
      <c r="B38" s="506" t="s">
        <v>90</v>
      </c>
      <c r="C38" s="504">
        <f t="shared" si="2"/>
        <v>12</v>
      </c>
      <c r="D38" s="504"/>
      <c r="E38" s="504"/>
      <c r="F38" s="504"/>
      <c r="G38" s="504"/>
      <c r="H38" s="504"/>
      <c r="I38" s="504"/>
      <c r="J38" s="504"/>
      <c r="K38" s="504"/>
      <c r="L38" s="504"/>
      <c r="M38" s="504"/>
      <c r="N38" s="504">
        <f>12</f>
        <v>12</v>
      </c>
      <c r="O38" s="504"/>
    </row>
    <row r="39" spans="1:15" ht="24.75" customHeight="1" hidden="1">
      <c r="A39" s="502">
        <v>28</v>
      </c>
      <c r="B39" s="506" t="s">
        <v>91</v>
      </c>
      <c r="C39" s="504">
        <f t="shared" si="2"/>
        <v>0</v>
      </c>
      <c r="D39" s="504"/>
      <c r="E39" s="504"/>
      <c r="F39" s="504"/>
      <c r="G39" s="504"/>
      <c r="H39" s="504"/>
      <c r="I39" s="504"/>
      <c r="J39" s="504"/>
      <c r="K39" s="504"/>
      <c r="L39" s="504"/>
      <c r="M39" s="504"/>
      <c r="N39" s="504"/>
      <c r="O39" s="504"/>
    </row>
    <row r="40" spans="1:15" s="507" customFormat="1" ht="24.75" customHeight="1">
      <c r="A40" s="502">
        <v>29</v>
      </c>
      <c r="B40" s="506" t="s">
        <v>77</v>
      </c>
      <c r="C40" s="504">
        <f t="shared" si="2"/>
        <v>78</v>
      </c>
      <c r="D40" s="504"/>
      <c r="E40" s="504"/>
      <c r="F40" s="504"/>
      <c r="G40" s="504"/>
      <c r="H40" s="504"/>
      <c r="I40" s="504"/>
      <c r="J40" s="504"/>
      <c r="K40" s="504"/>
      <c r="L40" s="504"/>
      <c r="M40" s="504"/>
      <c r="N40" s="504">
        <f>78</f>
        <v>78</v>
      </c>
      <c r="O40" s="504"/>
    </row>
    <row r="41" spans="1:15" ht="24.75" customHeight="1" hidden="1">
      <c r="A41" s="502">
        <v>30</v>
      </c>
      <c r="B41" s="506" t="s">
        <v>196</v>
      </c>
      <c r="C41" s="504">
        <f t="shared" si="2"/>
        <v>0</v>
      </c>
      <c r="D41" s="504"/>
      <c r="E41" s="504"/>
      <c r="F41" s="504"/>
      <c r="G41" s="504"/>
      <c r="H41" s="504"/>
      <c r="I41" s="504"/>
      <c r="J41" s="504"/>
      <c r="K41" s="504"/>
      <c r="L41" s="504"/>
      <c r="M41" s="504"/>
      <c r="N41" s="504"/>
      <c r="O41" s="504"/>
    </row>
    <row r="42" spans="1:15" ht="24.75" customHeight="1" hidden="1">
      <c r="A42" s="502">
        <v>31</v>
      </c>
      <c r="B42" s="506" t="s">
        <v>106</v>
      </c>
      <c r="C42" s="504">
        <f t="shared" si="2"/>
        <v>0</v>
      </c>
      <c r="D42" s="504"/>
      <c r="E42" s="504"/>
      <c r="F42" s="504"/>
      <c r="G42" s="504"/>
      <c r="H42" s="504"/>
      <c r="I42" s="504"/>
      <c r="J42" s="504"/>
      <c r="K42" s="504"/>
      <c r="L42" s="504"/>
      <c r="M42" s="504"/>
      <c r="N42" s="504"/>
      <c r="O42" s="504"/>
    </row>
    <row r="43" spans="1:15" ht="24.75" customHeight="1">
      <c r="A43" s="502">
        <v>32</v>
      </c>
      <c r="B43" s="506" t="s">
        <v>419</v>
      </c>
      <c r="C43" s="504">
        <f t="shared" si="2"/>
        <v>20</v>
      </c>
      <c r="D43" s="504"/>
      <c r="E43" s="504"/>
      <c r="F43" s="504"/>
      <c r="G43" s="504"/>
      <c r="H43" s="504"/>
      <c r="I43" s="504"/>
      <c r="J43" s="504"/>
      <c r="K43" s="504"/>
      <c r="L43" s="504"/>
      <c r="M43" s="504">
        <f>20</f>
        <v>20</v>
      </c>
      <c r="N43" s="504"/>
      <c r="O43" s="504"/>
    </row>
    <row r="44" spans="1:15" ht="24.75" customHeight="1" hidden="1">
      <c r="A44" s="502">
        <v>33</v>
      </c>
      <c r="B44" s="506" t="s">
        <v>110</v>
      </c>
      <c r="C44" s="504">
        <f t="shared" si="2"/>
        <v>0</v>
      </c>
      <c r="D44" s="504"/>
      <c r="E44" s="504"/>
      <c r="F44" s="504"/>
      <c r="G44" s="504"/>
      <c r="H44" s="504"/>
      <c r="I44" s="504"/>
      <c r="J44" s="504"/>
      <c r="K44" s="504"/>
      <c r="L44" s="504"/>
      <c r="M44" s="504"/>
      <c r="N44" s="504"/>
      <c r="O44" s="504"/>
    </row>
    <row r="45" spans="1:15" ht="24.75" customHeight="1">
      <c r="A45" s="502">
        <v>34</v>
      </c>
      <c r="B45" s="506" t="s">
        <v>420</v>
      </c>
      <c r="C45" s="504">
        <f t="shared" si="2"/>
        <v>85</v>
      </c>
      <c r="D45" s="504"/>
      <c r="E45" s="504"/>
      <c r="F45" s="504"/>
      <c r="G45" s="504"/>
      <c r="H45" s="504"/>
      <c r="I45" s="504"/>
      <c r="J45" s="504"/>
      <c r="K45" s="504"/>
      <c r="L45" s="504"/>
      <c r="M45" s="504"/>
      <c r="N45" s="504">
        <f>85</f>
        <v>85</v>
      </c>
      <c r="O45" s="504"/>
    </row>
    <row r="46" spans="1:15" ht="24.75" customHeight="1">
      <c r="A46" s="502">
        <v>35</v>
      </c>
      <c r="B46" s="506" t="s">
        <v>191</v>
      </c>
      <c r="C46" s="504">
        <f t="shared" si="2"/>
        <v>69</v>
      </c>
      <c r="D46" s="504"/>
      <c r="E46" s="504"/>
      <c r="F46" s="504"/>
      <c r="G46" s="504"/>
      <c r="H46" s="504"/>
      <c r="I46" s="504"/>
      <c r="J46" s="504"/>
      <c r="K46" s="504"/>
      <c r="L46" s="504"/>
      <c r="M46" s="504"/>
      <c r="N46" s="504">
        <f>69</f>
        <v>69</v>
      </c>
      <c r="O46" s="504"/>
    </row>
    <row r="47" spans="1:15" ht="24.75" customHeight="1">
      <c r="A47" s="502">
        <v>36</v>
      </c>
      <c r="B47" s="506" t="s">
        <v>98</v>
      </c>
      <c r="C47" s="504">
        <f t="shared" si="2"/>
        <v>98.674803</v>
      </c>
      <c r="D47" s="504"/>
      <c r="E47" s="504"/>
      <c r="F47" s="504"/>
      <c r="G47" s="504"/>
      <c r="H47" s="504"/>
      <c r="I47" s="504">
        <f>19</f>
        <v>19</v>
      </c>
      <c r="J47" s="504"/>
      <c r="K47" s="504"/>
      <c r="L47" s="504"/>
      <c r="M47" s="504"/>
      <c r="N47" s="504">
        <f>79.674803</f>
        <v>79.674803</v>
      </c>
      <c r="O47" s="504"/>
    </row>
    <row r="48" spans="1:15" ht="24.75" customHeight="1">
      <c r="A48" s="502">
        <v>37</v>
      </c>
      <c r="B48" s="506" t="s">
        <v>192</v>
      </c>
      <c r="C48" s="504">
        <f t="shared" si="2"/>
        <v>42.04924</v>
      </c>
      <c r="D48" s="504"/>
      <c r="E48" s="504"/>
      <c r="F48" s="504"/>
      <c r="G48" s="504"/>
      <c r="H48" s="504"/>
      <c r="I48" s="504"/>
      <c r="J48" s="504"/>
      <c r="K48" s="504"/>
      <c r="L48" s="504"/>
      <c r="M48" s="504"/>
      <c r="N48" s="504">
        <f>42.04924</f>
        <v>42.04924</v>
      </c>
      <c r="O48" s="504"/>
    </row>
    <row r="49" spans="1:15" ht="24.75" customHeight="1" hidden="1">
      <c r="A49" s="502">
        <v>38</v>
      </c>
      <c r="B49" s="506" t="s">
        <v>101</v>
      </c>
      <c r="C49" s="504">
        <f t="shared" si="2"/>
        <v>0</v>
      </c>
      <c r="D49" s="504"/>
      <c r="E49" s="504"/>
      <c r="F49" s="504"/>
      <c r="G49" s="504"/>
      <c r="H49" s="504"/>
      <c r="I49" s="504"/>
      <c r="J49" s="504"/>
      <c r="K49" s="504"/>
      <c r="L49" s="504"/>
      <c r="M49" s="504"/>
      <c r="N49" s="504"/>
      <c r="O49" s="504"/>
    </row>
    <row r="50" spans="1:15" ht="24.75" customHeight="1" hidden="1">
      <c r="A50" s="502">
        <v>39</v>
      </c>
      <c r="B50" s="506" t="s">
        <v>102</v>
      </c>
      <c r="C50" s="504">
        <f t="shared" si="2"/>
        <v>0</v>
      </c>
      <c r="D50" s="504"/>
      <c r="E50" s="504"/>
      <c r="F50" s="504"/>
      <c r="G50" s="504"/>
      <c r="H50" s="504"/>
      <c r="I50" s="504"/>
      <c r="J50" s="504"/>
      <c r="K50" s="504"/>
      <c r="L50" s="504"/>
      <c r="M50" s="504"/>
      <c r="N50" s="504"/>
      <c r="O50" s="504"/>
    </row>
    <row r="51" spans="1:15" ht="24.75" customHeight="1" hidden="1">
      <c r="A51" s="502">
        <v>40</v>
      </c>
      <c r="B51" s="506" t="s">
        <v>103</v>
      </c>
      <c r="C51" s="504">
        <f t="shared" si="2"/>
        <v>0</v>
      </c>
      <c r="D51" s="504"/>
      <c r="E51" s="504"/>
      <c r="F51" s="504"/>
      <c r="G51" s="504"/>
      <c r="H51" s="504"/>
      <c r="I51" s="504"/>
      <c r="J51" s="504"/>
      <c r="K51" s="504"/>
      <c r="L51" s="504"/>
      <c r="M51" s="504"/>
      <c r="N51" s="504"/>
      <c r="O51" s="504"/>
    </row>
    <row r="52" spans="1:15" ht="24.75" customHeight="1" hidden="1">
      <c r="A52" s="502">
        <v>41</v>
      </c>
      <c r="B52" s="506" t="s">
        <v>104</v>
      </c>
      <c r="C52" s="504">
        <f t="shared" si="2"/>
        <v>0</v>
      </c>
      <c r="D52" s="504"/>
      <c r="E52" s="504"/>
      <c r="F52" s="504"/>
      <c r="G52" s="504"/>
      <c r="H52" s="504"/>
      <c r="I52" s="504"/>
      <c r="J52" s="504"/>
      <c r="K52" s="504"/>
      <c r="L52" s="504"/>
      <c r="M52" s="504"/>
      <c r="N52" s="504"/>
      <c r="O52" s="504"/>
    </row>
    <row r="53" spans="1:15" ht="24.75" customHeight="1" hidden="1">
      <c r="A53" s="502">
        <v>42</v>
      </c>
      <c r="B53" s="506" t="s">
        <v>199</v>
      </c>
      <c r="C53" s="504">
        <f t="shared" si="2"/>
        <v>0</v>
      </c>
      <c r="D53" s="504"/>
      <c r="E53" s="509"/>
      <c r="F53" s="509"/>
      <c r="G53" s="504"/>
      <c r="H53" s="509"/>
      <c r="I53" s="509"/>
      <c r="J53" s="509"/>
      <c r="K53" s="509"/>
      <c r="L53" s="504"/>
      <c r="M53" s="504"/>
      <c r="N53" s="509"/>
      <c r="O53" s="504"/>
    </row>
    <row r="54" spans="1:15" ht="24.75" customHeight="1" hidden="1">
      <c r="A54" s="502">
        <v>43</v>
      </c>
      <c r="B54" s="506" t="s">
        <v>253</v>
      </c>
      <c r="C54" s="504">
        <f t="shared" si="2"/>
        <v>0</v>
      </c>
      <c r="D54" s="504"/>
      <c r="E54" s="504"/>
      <c r="F54" s="504"/>
      <c r="G54" s="504"/>
      <c r="H54" s="504"/>
      <c r="I54" s="504"/>
      <c r="J54" s="504"/>
      <c r="K54" s="504"/>
      <c r="L54" s="504"/>
      <c r="M54" s="504"/>
      <c r="N54" s="504"/>
      <c r="O54" s="504"/>
    </row>
    <row r="55" spans="1:15" ht="33" customHeight="1" hidden="1">
      <c r="A55" s="502">
        <v>44</v>
      </c>
      <c r="B55" s="506" t="s">
        <v>458</v>
      </c>
      <c r="C55" s="504">
        <f t="shared" si="2"/>
        <v>0</v>
      </c>
      <c r="D55" s="504"/>
      <c r="E55" s="504"/>
      <c r="F55" s="504"/>
      <c r="G55" s="504"/>
      <c r="H55" s="504"/>
      <c r="I55" s="504"/>
      <c r="J55" s="504"/>
      <c r="K55" s="504"/>
      <c r="L55" s="504"/>
      <c r="M55" s="504"/>
      <c r="N55" s="504"/>
      <c r="O55" s="504"/>
    </row>
    <row r="56" spans="1:15" ht="24.75" customHeight="1" hidden="1">
      <c r="A56" s="502">
        <v>45</v>
      </c>
      <c r="B56" s="506" t="s">
        <v>463</v>
      </c>
      <c r="C56" s="504">
        <f t="shared" si="2"/>
        <v>0</v>
      </c>
      <c r="D56" s="510"/>
      <c r="E56" s="510"/>
      <c r="F56" s="510"/>
      <c r="G56" s="510"/>
      <c r="H56" s="510"/>
      <c r="I56" s="510"/>
      <c r="J56" s="510"/>
      <c r="K56" s="510"/>
      <c r="L56" s="510"/>
      <c r="M56" s="510"/>
      <c r="N56" s="510"/>
      <c r="O56" s="510"/>
    </row>
    <row r="57" spans="1:15" ht="24.75" customHeight="1" hidden="1">
      <c r="A57" s="502">
        <v>46</v>
      </c>
      <c r="B57" s="506" t="s">
        <v>464</v>
      </c>
      <c r="C57" s="504">
        <f t="shared" si="2"/>
        <v>0</v>
      </c>
      <c r="D57" s="510"/>
      <c r="E57" s="510"/>
      <c r="F57" s="510"/>
      <c r="G57" s="510"/>
      <c r="H57" s="510"/>
      <c r="I57" s="510"/>
      <c r="J57" s="510"/>
      <c r="K57" s="510"/>
      <c r="L57" s="510"/>
      <c r="M57" s="510"/>
      <c r="N57" s="510"/>
      <c r="O57" s="510"/>
    </row>
    <row r="58" spans="1:15" ht="24.75" customHeight="1">
      <c r="A58" s="500" t="s">
        <v>50</v>
      </c>
      <c r="B58" s="511" t="s">
        <v>413</v>
      </c>
      <c r="C58" s="512">
        <f>SUM(C59:C71)</f>
        <v>291</v>
      </c>
      <c r="D58" s="512">
        <f aca="true" t="shared" si="3" ref="D58:O58">SUM(D59:D71)</f>
        <v>0</v>
      </c>
      <c r="E58" s="512">
        <f t="shared" si="3"/>
        <v>0</v>
      </c>
      <c r="F58" s="512">
        <f t="shared" si="3"/>
        <v>0</v>
      </c>
      <c r="G58" s="512">
        <f t="shared" si="3"/>
        <v>0</v>
      </c>
      <c r="H58" s="512">
        <f t="shared" si="3"/>
        <v>0</v>
      </c>
      <c r="I58" s="512">
        <f t="shared" si="3"/>
        <v>0</v>
      </c>
      <c r="J58" s="512">
        <f t="shared" si="3"/>
        <v>0</v>
      </c>
      <c r="K58" s="512">
        <f t="shared" si="3"/>
        <v>0</v>
      </c>
      <c r="L58" s="512">
        <f t="shared" si="3"/>
        <v>0</v>
      </c>
      <c r="M58" s="512">
        <f t="shared" si="3"/>
        <v>0</v>
      </c>
      <c r="N58" s="512">
        <f t="shared" si="3"/>
        <v>291</v>
      </c>
      <c r="O58" s="512">
        <f t="shared" si="3"/>
        <v>0</v>
      </c>
    </row>
    <row r="59" spans="1:15" ht="24.75" customHeight="1">
      <c r="A59" s="502">
        <v>1</v>
      </c>
      <c r="B59" s="506" t="s">
        <v>422</v>
      </c>
      <c r="C59" s="504">
        <f aca="true" t="shared" si="4" ref="C59:C71">SUM(D59:M59,N59,O59:O59)</f>
        <v>166</v>
      </c>
      <c r="D59" s="512"/>
      <c r="E59" s="512"/>
      <c r="F59" s="512"/>
      <c r="G59" s="512"/>
      <c r="H59" s="512"/>
      <c r="I59" s="512"/>
      <c r="J59" s="512"/>
      <c r="K59" s="512"/>
      <c r="L59" s="512"/>
      <c r="M59" s="512"/>
      <c r="N59" s="510">
        <f>166</f>
        <v>166</v>
      </c>
      <c r="O59" s="512"/>
    </row>
    <row r="60" spans="1:15" ht="24.75" customHeight="1">
      <c r="A60" s="502">
        <v>2</v>
      </c>
      <c r="B60" s="506" t="s">
        <v>421</v>
      </c>
      <c r="C60" s="504">
        <f t="shared" si="4"/>
        <v>34</v>
      </c>
      <c r="D60" s="512"/>
      <c r="E60" s="512"/>
      <c r="F60" s="512"/>
      <c r="G60" s="512"/>
      <c r="H60" s="512"/>
      <c r="I60" s="512"/>
      <c r="J60" s="512"/>
      <c r="K60" s="512"/>
      <c r="L60" s="512"/>
      <c r="M60" s="512"/>
      <c r="N60" s="510">
        <f>34</f>
        <v>34</v>
      </c>
      <c r="O60" s="512"/>
    </row>
    <row r="61" spans="1:15" s="507" customFormat="1" ht="24.75" customHeight="1">
      <c r="A61" s="502">
        <v>3</v>
      </c>
      <c r="B61" s="506" t="s">
        <v>195</v>
      </c>
      <c r="C61" s="504">
        <f t="shared" si="4"/>
        <v>4</v>
      </c>
      <c r="D61" s="512"/>
      <c r="E61" s="512"/>
      <c r="F61" s="512"/>
      <c r="G61" s="512"/>
      <c r="H61" s="512"/>
      <c r="I61" s="512"/>
      <c r="J61" s="512"/>
      <c r="K61" s="512"/>
      <c r="L61" s="512"/>
      <c r="M61" s="512"/>
      <c r="N61" s="510">
        <f>4</f>
        <v>4</v>
      </c>
      <c r="O61" s="512"/>
    </row>
    <row r="62" spans="1:15" ht="24.75" customHeight="1">
      <c r="A62" s="502">
        <v>4</v>
      </c>
      <c r="B62" s="506" t="s">
        <v>93</v>
      </c>
      <c r="C62" s="504">
        <f t="shared" si="4"/>
        <v>8</v>
      </c>
      <c r="D62" s="512"/>
      <c r="E62" s="512"/>
      <c r="F62" s="512"/>
      <c r="G62" s="512"/>
      <c r="H62" s="512"/>
      <c r="I62" s="512"/>
      <c r="J62" s="512"/>
      <c r="K62" s="512"/>
      <c r="L62" s="512"/>
      <c r="M62" s="512"/>
      <c r="N62" s="510">
        <f>8</f>
        <v>8</v>
      </c>
      <c r="O62" s="512"/>
    </row>
    <row r="63" spans="1:15" ht="24.75" customHeight="1">
      <c r="A63" s="502">
        <v>5</v>
      </c>
      <c r="B63" s="506" t="s">
        <v>423</v>
      </c>
      <c r="C63" s="504">
        <f t="shared" si="4"/>
        <v>5</v>
      </c>
      <c r="D63" s="512"/>
      <c r="E63" s="512"/>
      <c r="F63" s="512"/>
      <c r="G63" s="512"/>
      <c r="H63" s="512"/>
      <c r="I63" s="512"/>
      <c r="J63" s="512"/>
      <c r="K63" s="512"/>
      <c r="L63" s="512"/>
      <c r="M63" s="512"/>
      <c r="N63" s="510">
        <f>5</f>
        <v>5</v>
      </c>
      <c r="O63" s="512"/>
    </row>
    <row r="64" spans="1:15" s="507" customFormat="1" ht="24.75" customHeight="1">
      <c r="A64" s="502">
        <v>6</v>
      </c>
      <c r="B64" s="506" t="s">
        <v>428</v>
      </c>
      <c r="C64" s="504">
        <f t="shared" si="4"/>
        <v>7</v>
      </c>
      <c r="D64" s="512"/>
      <c r="E64" s="512"/>
      <c r="F64" s="512"/>
      <c r="G64" s="512"/>
      <c r="H64" s="512"/>
      <c r="I64" s="512"/>
      <c r="J64" s="512"/>
      <c r="K64" s="512"/>
      <c r="L64" s="512"/>
      <c r="M64" s="512"/>
      <c r="N64" s="510">
        <f>7</f>
        <v>7</v>
      </c>
      <c r="O64" s="512"/>
    </row>
    <row r="65" spans="1:15" ht="24.75" customHeight="1" hidden="1">
      <c r="A65" s="502">
        <v>7</v>
      </c>
      <c r="B65" s="506" t="s">
        <v>193</v>
      </c>
      <c r="C65" s="504">
        <f t="shared" si="4"/>
        <v>0</v>
      </c>
      <c r="D65" s="512"/>
      <c r="E65" s="512"/>
      <c r="F65" s="512"/>
      <c r="G65" s="512"/>
      <c r="H65" s="512"/>
      <c r="I65" s="512"/>
      <c r="J65" s="512"/>
      <c r="K65" s="512"/>
      <c r="L65" s="512"/>
      <c r="M65" s="512"/>
      <c r="N65" s="510"/>
      <c r="O65" s="512"/>
    </row>
    <row r="66" spans="1:15" ht="24.75" customHeight="1" hidden="1">
      <c r="A66" s="502">
        <v>8</v>
      </c>
      <c r="B66" s="506" t="s">
        <v>424</v>
      </c>
      <c r="C66" s="504">
        <f t="shared" si="4"/>
        <v>0</v>
      </c>
      <c r="D66" s="512"/>
      <c r="E66" s="512"/>
      <c r="F66" s="512"/>
      <c r="G66" s="512"/>
      <c r="H66" s="512"/>
      <c r="I66" s="512"/>
      <c r="J66" s="512"/>
      <c r="K66" s="512"/>
      <c r="L66" s="512"/>
      <c r="M66" s="512"/>
      <c r="N66" s="510"/>
      <c r="O66" s="512"/>
    </row>
    <row r="67" spans="1:15" ht="24.75" customHeight="1">
      <c r="A67" s="502">
        <v>9</v>
      </c>
      <c r="B67" s="506" t="s">
        <v>425</v>
      </c>
      <c r="C67" s="504">
        <f t="shared" si="4"/>
        <v>12</v>
      </c>
      <c r="D67" s="512"/>
      <c r="E67" s="512"/>
      <c r="F67" s="512"/>
      <c r="G67" s="512"/>
      <c r="H67" s="512"/>
      <c r="I67" s="512"/>
      <c r="J67" s="512"/>
      <c r="K67" s="512"/>
      <c r="L67" s="512"/>
      <c r="M67" s="512"/>
      <c r="N67" s="510">
        <f>12</f>
        <v>12</v>
      </c>
      <c r="O67" s="512"/>
    </row>
    <row r="68" spans="1:15" ht="24.75" customHeight="1" hidden="1">
      <c r="A68" s="502">
        <v>10</v>
      </c>
      <c r="B68" s="506" t="s">
        <v>105</v>
      </c>
      <c r="C68" s="504">
        <f t="shared" si="4"/>
        <v>0</v>
      </c>
      <c r="D68" s="512"/>
      <c r="E68" s="512"/>
      <c r="F68" s="512"/>
      <c r="G68" s="512"/>
      <c r="H68" s="512"/>
      <c r="I68" s="512"/>
      <c r="J68" s="512"/>
      <c r="K68" s="512"/>
      <c r="L68" s="512"/>
      <c r="M68" s="512"/>
      <c r="N68" s="510"/>
      <c r="O68" s="512"/>
    </row>
    <row r="69" spans="1:15" ht="24.75" customHeight="1">
      <c r="A69" s="502">
        <v>11</v>
      </c>
      <c r="B69" s="506" t="s">
        <v>426</v>
      </c>
      <c r="C69" s="504">
        <f t="shared" si="4"/>
        <v>19</v>
      </c>
      <c r="D69" s="512"/>
      <c r="E69" s="512"/>
      <c r="F69" s="512"/>
      <c r="G69" s="512"/>
      <c r="H69" s="512"/>
      <c r="I69" s="512"/>
      <c r="J69" s="512"/>
      <c r="K69" s="512"/>
      <c r="L69" s="512"/>
      <c r="M69" s="512"/>
      <c r="N69" s="510">
        <f>19</f>
        <v>19</v>
      </c>
      <c r="O69" s="512"/>
    </row>
    <row r="70" spans="1:15" ht="24.75" customHeight="1">
      <c r="A70" s="502">
        <v>12</v>
      </c>
      <c r="B70" s="506" t="s">
        <v>427</v>
      </c>
      <c r="C70" s="504">
        <f t="shared" si="4"/>
        <v>36</v>
      </c>
      <c r="D70" s="512"/>
      <c r="E70" s="512"/>
      <c r="F70" s="512"/>
      <c r="G70" s="512"/>
      <c r="H70" s="512"/>
      <c r="I70" s="512"/>
      <c r="J70" s="512"/>
      <c r="K70" s="512"/>
      <c r="L70" s="512"/>
      <c r="M70" s="512"/>
      <c r="N70" s="510">
        <f>36</f>
        <v>36</v>
      </c>
      <c r="O70" s="512"/>
    </row>
    <row r="71" spans="1:15" ht="24.75" customHeight="1" hidden="1">
      <c r="A71" s="502">
        <v>13</v>
      </c>
      <c r="B71" s="506" t="s">
        <v>97</v>
      </c>
      <c r="C71" s="504">
        <f t="shared" si="4"/>
        <v>0</v>
      </c>
      <c r="D71" s="512"/>
      <c r="E71" s="512"/>
      <c r="F71" s="512"/>
      <c r="G71" s="512"/>
      <c r="H71" s="512"/>
      <c r="I71" s="512"/>
      <c r="J71" s="512"/>
      <c r="K71" s="512"/>
      <c r="L71" s="512"/>
      <c r="M71" s="512"/>
      <c r="N71" s="510"/>
      <c r="O71" s="512"/>
    </row>
    <row r="72" spans="1:15" s="517" customFormat="1" ht="24.75" customHeight="1">
      <c r="A72" s="500" t="s">
        <v>46</v>
      </c>
      <c r="B72" s="515" t="s">
        <v>673</v>
      </c>
      <c r="C72" s="516">
        <v>90946.40577199991</v>
      </c>
      <c r="D72" s="498">
        <f>D9-D10</f>
        <v>70249.633968</v>
      </c>
      <c r="E72" s="498">
        <f aca="true" t="shared" si="5" ref="E72:O72">E9-E10</f>
        <v>0</v>
      </c>
      <c r="F72" s="498">
        <f>F9-F10</f>
        <v>266.52560500000004</v>
      </c>
      <c r="G72" s="498">
        <f t="shared" si="5"/>
        <v>210.210035</v>
      </c>
      <c r="H72" s="498">
        <f t="shared" si="5"/>
        <v>0</v>
      </c>
      <c r="I72" s="498">
        <f t="shared" si="5"/>
        <v>100</v>
      </c>
      <c r="J72" s="498">
        <f t="shared" si="5"/>
        <v>81</v>
      </c>
      <c r="K72" s="498">
        <f t="shared" si="5"/>
        <v>0</v>
      </c>
      <c r="L72" s="498">
        <f t="shared" si="5"/>
        <v>30</v>
      </c>
      <c r="M72" s="498">
        <f t="shared" si="5"/>
        <v>505.99999999999994</v>
      </c>
      <c r="N72" s="498">
        <f t="shared" si="5"/>
        <v>19225.006164</v>
      </c>
      <c r="O72" s="498">
        <f t="shared" si="5"/>
        <v>278.03</v>
      </c>
    </row>
    <row r="73" spans="1:15" s="514" customFormat="1" ht="24.75" customHeight="1">
      <c r="A73" s="271">
        <v>1</v>
      </c>
      <c r="B73" s="271" t="s">
        <v>328</v>
      </c>
      <c r="C73" s="513">
        <v>21986.617451</v>
      </c>
      <c r="D73" s="518">
        <v>19115.617451</v>
      </c>
      <c r="E73" s="518"/>
      <c r="F73" s="518"/>
      <c r="G73" s="518"/>
      <c r="H73" s="518"/>
      <c r="I73" s="518"/>
      <c r="J73" s="518"/>
      <c r="K73" s="518"/>
      <c r="L73" s="518"/>
      <c r="M73" s="518"/>
      <c r="N73" s="518">
        <v>2871</v>
      </c>
      <c r="O73" s="518"/>
    </row>
    <row r="74" spans="1:15" s="514" customFormat="1" ht="24.75" customHeight="1">
      <c r="A74" s="271">
        <v>2</v>
      </c>
      <c r="B74" s="271" t="s">
        <v>326</v>
      </c>
      <c r="C74" s="513">
        <v>9661</v>
      </c>
      <c r="D74" s="518">
        <v>6009</v>
      </c>
      <c r="E74" s="518"/>
      <c r="F74" s="518">
        <v>106.61472</v>
      </c>
      <c r="G74" s="518">
        <v>48.8</v>
      </c>
      <c r="H74" s="518"/>
      <c r="I74" s="518">
        <v>28</v>
      </c>
      <c r="J74" s="518">
        <v>21</v>
      </c>
      <c r="K74" s="518"/>
      <c r="L74" s="518"/>
      <c r="M74" s="518">
        <v>29</v>
      </c>
      <c r="N74" s="518">
        <v>3418.58528</v>
      </c>
      <c r="O74" s="518"/>
    </row>
    <row r="75" spans="1:15" s="514" customFormat="1" ht="24.75" customHeight="1">
      <c r="A75" s="271">
        <v>3</v>
      </c>
      <c r="B75" s="271" t="s">
        <v>327</v>
      </c>
      <c r="C75" s="513">
        <v>6888.939</v>
      </c>
      <c r="D75" s="518">
        <v>3133.977</v>
      </c>
      <c r="E75" s="518"/>
      <c r="F75" s="518"/>
      <c r="G75" s="518"/>
      <c r="H75" s="518"/>
      <c r="I75" s="518">
        <v>72</v>
      </c>
      <c r="J75" s="518">
        <v>60</v>
      </c>
      <c r="K75" s="518"/>
      <c r="L75" s="518">
        <v>30</v>
      </c>
      <c r="M75" s="518">
        <v>429</v>
      </c>
      <c r="N75" s="518">
        <v>2888.962</v>
      </c>
      <c r="O75" s="518">
        <v>275</v>
      </c>
    </row>
    <row r="76" spans="1:15" s="514" customFormat="1" ht="24.75" customHeight="1">
      <c r="A76" s="271">
        <v>4</v>
      </c>
      <c r="B76" s="271" t="s">
        <v>329</v>
      </c>
      <c r="C76" s="513">
        <v>8855.124</v>
      </c>
      <c r="D76" s="518">
        <v>6858.731</v>
      </c>
      <c r="E76" s="518"/>
      <c r="F76" s="518"/>
      <c r="G76" s="518"/>
      <c r="H76" s="518"/>
      <c r="I76" s="518"/>
      <c r="J76" s="518"/>
      <c r="K76" s="518"/>
      <c r="L76" s="518"/>
      <c r="M76" s="518"/>
      <c r="N76" s="518">
        <v>1996.393</v>
      </c>
      <c r="O76" s="518"/>
    </row>
    <row r="77" spans="1:15" s="514" customFormat="1" ht="24.75" customHeight="1">
      <c r="A77" s="271">
        <v>5</v>
      </c>
      <c r="B77" s="271" t="s">
        <v>330</v>
      </c>
      <c r="C77" s="513">
        <v>3962.182338</v>
      </c>
      <c r="D77" s="518">
        <v>3962.182338</v>
      </c>
      <c r="E77" s="518"/>
      <c r="F77" s="518"/>
      <c r="G77" s="518"/>
      <c r="H77" s="518"/>
      <c r="I77" s="518"/>
      <c r="J77" s="518"/>
      <c r="K77" s="518"/>
      <c r="L77" s="518"/>
      <c r="M77" s="518"/>
      <c r="N77" s="518"/>
      <c r="O77" s="518"/>
    </row>
    <row r="78" spans="1:15" s="514" customFormat="1" ht="24.75" customHeight="1">
      <c r="A78" s="271">
        <v>6</v>
      </c>
      <c r="B78" s="271" t="s">
        <v>331</v>
      </c>
      <c r="C78" s="513">
        <v>16947.63234100002</v>
      </c>
      <c r="D78" s="518">
        <v>14348.234441</v>
      </c>
      <c r="E78" s="518"/>
      <c r="F78" s="518">
        <v>53.649</v>
      </c>
      <c r="G78" s="518">
        <v>74.514</v>
      </c>
      <c r="H78" s="518"/>
      <c r="I78" s="518"/>
      <c r="J78" s="518"/>
      <c r="K78" s="518"/>
      <c r="L78" s="518"/>
      <c r="M78" s="518">
        <v>48</v>
      </c>
      <c r="N78" s="518">
        <v>2420.2049</v>
      </c>
      <c r="O78" s="518">
        <v>3.03</v>
      </c>
    </row>
    <row r="79" spans="1:15" s="514" customFormat="1" ht="24.75" customHeight="1">
      <c r="A79" s="271">
        <v>7</v>
      </c>
      <c r="B79" s="271" t="s">
        <v>332</v>
      </c>
      <c r="C79" s="513">
        <v>12162.910641999973</v>
      </c>
      <c r="D79" s="518">
        <v>9712.891738</v>
      </c>
      <c r="E79" s="518"/>
      <c r="F79" s="518"/>
      <c r="G79" s="518"/>
      <c r="H79" s="518"/>
      <c r="I79" s="518"/>
      <c r="J79" s="518"/>
      <c r="K79" s="518"/>
      <c r="L79" s="518"/>
      <c r="M79" s="518"/>
      <c r="N79" s="518">
        <v>2450.018904</v>
      </c>
      <c r="O79" s="518"/>
    </row>
    <row r="80" spans="1:15" s="514" customFormat="1" ht="24.75" customHeight="1" hidden="1">
      <c r="A80" s="271">
        <v>8</v>
      </c>
      <c r="B80" s="271" t="s">
        <v>333</v>
      </c>
      <c r="C80" s="513">
        <v>0</v>
      </c>
      <c r="D80" s="518"/>
      <c r="E80" s="518"/>
      <c r="F80" s="518"/>
      <c r="G80" s="518"/>
      <c r="H80" s="518"/>
      <c r="I80" s="518"/>
      <c r="J80" s="518"/>
      <c r="K80" s="518"/>
      <c r="L80" s="518"/>
      <c r="M80" s="518"/>
      <c r="N80" s="518"/>
      <c r="O80" s="518"/>
    </row>
    <row r="81" spans="1:15" s="514" customFormat="1" ht="24.75" customHeight="1" hidden="1">
      <c r="A81" s="271">
        <v>9</v>
      </c>
      <c r="B81" s="271" t="s">
        <v>334</v>
      </c>
      <c r="C81" s="513">
        <v>0</v>
      </c>
      <c r="D81" s="518"/>
      <c r="E81" s="518"/>
      <c r="F81" s="518"/>
      <c r="G81" s="518"/>
      <c r="H81" s="518"/>
      <c r="I81" s="518"/>
      <c r="J81" s="518"/>
      <c r="K81" s="518"/>
      <c r="L81" s="518"/>
      <c r="M81" s="518"/>
      <c r="N81" s="518"/>
      <c r="O81" s="518"/>
    </row>
    <row r="82" spans="1:15" s="514" customFormat="1" ht="24.75" customHeight="1">
      <c r="A82" s="271">
        <v>10</v>
      </c>
      <c r="B82" s="271" t="s">
        <v>335</v>
      </c>
      <c r="C82" s="513">
        <v>10482</v>
      </c>
      <c r="D82" s="518">
        <v>7109</v>
      </c>
      <c r="E82" s="518"/>
      <c r="F82" s="518">
        <v>106.261885</v>
      </c>
      <c r="G82" s="518">
        <v>86.896035</v>
      </c>
      <c r="H82" s="518"/>
      <c r="I82" s="518"/>
      <c r="J82" s="518"/>
      <c r="K82" s="518"/>
      <c r="L82" s="518"/>
      <c r="M82" s="518"/>
      <c r="N82" s="518">
        <v>3179.84208</v>
      </c>
      <c r="O82" s="518"/>
    </row>
    <row r="83" spans="1:15" ht="15">
      <c r="A83" s="519"/>
      <c r="B83" s="520"/>
      <c r="C83" s="521"/>
      <c r="D83" s="521"/>
      <c r="E83" s="521"/>
      <c r="F83" s="521"/>
      <c r="G83" s="521"/>
      <c r="H83" s="521"/>
      <c r="I83" s="521"/>
      <c r="J83" s="521"/>
      <c r="K83" s="521"/>
      <c r="L83" s="521"/>
      <c r="M83" s="521"/>
      <c r="N83" s="521"/>
      <c r="O83" s="521"/>
    </row>
  </sheetData>
  <sheetProtection/>
  <mergeCells count="21">
    <mergeCell ref="M7:M8"/>
    <mergeCell ref="D6:O6"/>
    <mergeCell ref="O7:O8"/>
    <mergeCell ref="I7:I8"/>
    <mergeCell ref="J7:J8"/>
    <mergeCell ref="K7:K8"/>
    <mergeCell ref="L7:L8"/>
    <mergeCell ref="E7:E8"/>
    <mergeCell ref="F7:F8"/>
    <mergeCell ref="G7:G8"/>
    <mergeCell ref="H7:H8"/>
    <mergeCell ref="D7:D8"/>
    <mergeCell ref="N7:N8"/>
    <mergeCell ref="N1:O1"/>
    <mergeCell ref="A2:O2"/>
    <mergeCell ref="A3:O3"/>
    <mergeCell ref="N4:O4"/>
    <mergeCell ref="A5:A8"/>
    <mergeCell ref="B5:B8"/>
    <mergeCell ref="C5:C8"/>
    <mergeCell ref="D5:O5"/>
  </mergeCells>
  <printOptions horizontalCentered="1"/>
  <pageMargins left="0" right="0" top="0" bottom="0" header="0.5" footer="0.5"/>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dimension ref="A1:H52"/>
  <sheetViews>
    <sheetView zoomScalePageLayoutView="0" workbookViewId="0" topLeftCell="A1">
      <selection activeCell="E10" sqref="E10"/>
    </sheetView>
  </sheetViews>
  <sheetFormatPr defaultColWidth="9.00390625" defaultRowHeight="14.25"/>
  <cols>
    <col min="1" max="1" width="5.625" style="523" customWidth="1"/>
    <col min="2" max="2" width="39.125" style="523" customWidth="1"/>
    <col min="3" max="3" width="15.75390625" style="523" customWidth="1"/>
    <col min="4" max="4" width="16.125" style="523" customWidth="1"/>
    <col min="5" max="5" width="19.125" style="523" customWidth="1"/>
    <col min="6" max="6" width="14.125" style="523" customWidth="1"/>
    <col min="7" max="7" width="9.00390625" style="523" customWidth="1"/>
    <col min="8" max="8" width="10.625" style="523" bestFit="1" customWidth="1"/>
    <col min="9" max="16384" width="9.00390625" style="523" customWidth="1"/>
  </cols>
  <sheetData>
    <row r="1" ht="15.75">
      <c r="E1" s="524" t="s">
        <v>674</v>
      </c>
    </row>
    <row r="2" spans="1:5" ht="40.5" customHeight="1">
      <c r="A2" s="607" t="s">
        <v>675</v>
      </c>
      <c r="B2" s="607"/>
      <c r="C2" s="607"/>
      <c r="D2" s="607"/>
      <c r="E2" s="607"/>
    </row>
    <row r="3" spans="1:5" ht="24.75" customHeight="1">
      <c r="A3" s="608" t="s">
        <v>680</v>
      </c>
      <c r="B3" s="608"/>
      <c r="C3" s="608"/>
      <c r="D3" s="608"/>
      <c r="E3" s="608"/>
    </row>
    <row r="4" spans="1:5" ht="15.75" customHeight="1">
      <c r="A4" s="525"/>
      <c r="B4" s="525"/>
      <c r="C4" s="525"/>
      <c r="D4" s="525"/>
      <c r="E4" s="525"/>
    </row>
    <row r="5" spans="1:8" ht="15.75">
      <c r="A5" s="526"/>
      <c r="B5" s="526"/>
      <c r="C5" s="526"/>
      <c r="D5" s="526"/>
      <c r="E5" s="527" t="s">
        <v>48</v>
      </c>
      <c r="F5" s="526"/>
      <c r="G5" s="526"/>
      <c r="H5" s="526"/>
    </row>
    <row r="6" spans="1:8" ht="45.75" customHeight="1">
      <c r="A6" s="528" t="s">
        <v>668</v>
      </c>
      <c r="B6" s="528" t="s">
        <v>44</v>
      </c>
      <c r="C6" s="528" t="s">
        <v>652</v>
      </c>
      <c r="D6" s="528" t="s">
        <v>653</v>
      </c>
      <c r="E6" s="528" t="s">
        <v>676</v>
      </c>
      <c r="F6" s="526"/>
      <c r="G6" s="526"/>
      <c r="H6" s="526"/>
    </row>
    <row r="7" spans="1:8" s="531" customFormat="1" ht="14.25" customHeight="1">
      <c r="A7" s="529" t="s">
        <v>45</v>
      </c>
      <c r="B7" s="529" t="s">
        <v>46</v>
      </c>
      <c r="C7" s="529">
        <v>1</v>
      </c>
      <c r="D7" s="529">
        <v>2</v>
      </c>
      <c r="E7" s="529">
        <v>3</v>
      </c>
      <c r="F7" s="530"/>
      <c r="G7" s="530"/>
      <c r="H7" s="530"/>
    </row>
    <row r="8" spans="1:8" ht="25.5" customHeight="1">
      <c r="A8" s="532" t="s">
        <v>45</v>
      </c>
      <c r="B8" s="533" t="s">
        <v>338</v>
      </c>
      <c r="C8" s="534"/>
      <c r="D8" s="534"/>
      <c r="E8" s="535"/>
      <c r="F8" s="526"/>
      <c r="G8" s="526"/>
      <c r="H8" s="526"/>
    </row>
    <row r="9" spans="1:8" ht="15.75">
      <c r="A9" s="536" t="s">
        <v>591</v>
      </c>
      <c r="B9" s="537" t="s">
        <v>592</v>
      </c>
      <c r="C9" s="538">
        <f>SUM(C10,C19)</f>
        <v>9706710.124501301</v>
      </c>
      <c r="D9" s="539">
        <f>SUM(D10,D19)</f>
        <v>116459.007</v>
      </c>
      <c r="E9" s="540">
        <f>SUM(C9,D9)</f>
        <v>9823169.1315013</v>
      </c>
      <c r="F9" s="541"/>
      <c r="G9" s="526"/>
      <c r="H9" s="526"/>
    </row>
    <row r="10" spans="1:8" ht="15.75">
      <c r="A10" s="536" t="s">
        <v>54</v>
      </c>
      <c r="B10" s="537" t="s">
        <v>548</v>
      </c>
      <c r="C10" s="538">
        <f>SUM(C11:C12,C15:C18)</f>
        <v>9699329.3935563</v>
      </c>
      <c r="D10" s="539">
        <f>SUM(D11:D12,D15:D18)</f>
        <v>116459.007</v>
      </c>
      <c r="E10" s="540">
        <f aca="true" t="shared" si="0" ref="E10:E47">SUM(C10,D10)</f>
        <v>9815788.4005563</v>
      </c>
      <c r="F10" s="541"/>
      <c r="G10" s="526"/>
      <c r="H10" s="526"/>
    </row>
    <row r="11" spans="1:8" ht="15.75">
      <c r="A11" s="542">
        <v>1</v>
      </c>
      <c r="B11" s="543" t="s">
        <v>549</v>
      </c>
      <c r="C11" s="544">
        <f>302085.032305+238659.333278</f>
        <v>540744.365583</v>
      </c>
      <c r="D11" s="545"/>
      <c r="E11" s="540">
        <f t="shared" si="0"/>
        <v>540744.365583</v>
      </c>
      <c r="F11" s="541"/>
      <c r="G11" s="526"/>
      <c r="H11" s="526"/>
    </row>
    <row r="12" spans="1:8" ht="15.75">
      <c r="A12" s="542">
        <v>2</v>
      </c>
      <c r="B12" s="543" t="s">
        <v>550</v>
      </c>
      <c r="C12" s="544">
        <f>SUM(C13:C14)</f>
        <v>8035043.942152</v>
      </c>
      <c r="D12" s="545">
        <f>SUM(D13:D14)</f>
        <v>115088</v>
      </c>
      <c r="E12" s="540">
        <f t="shared" si="0"/>
        <v>8150131.942152</v>
      </c>
      <c r="F12" s="541"/>
      <c r="G12" s="526"/>
      <c r="H12" s="526"/>
    </row>
    <row r="13" spans="1:8" ht="15.75">
      <c r="A13" s="542" t="s">
        <v>47</v>
      </c>
      <c r="B13" s="543" t="s">
        <v>9</v>
      </c>
      <c r="C13" s="544">
        <v>5666899</v>
      </c>
      <c r="D13" s="545"/>
      <c r="E13" s="540">
        <f t="shared" si="0"/>
        <v>5666899</v>
      </c>
      <c r="F13" s="541"/>
      <c r="G13" s="526"/>
      <c r="H13" s="526"/>
    </row>
    <row r="14" spans="1:8" ht="15.75">
      <c r="A14" s="542" t="s">
        <v>47</v>
      </c>
      <c r="B14" s="543" t="s">
        <v>10</v>
      </c>
      <c r="C14" s="544">
        <v>2368144.942152</v>
      </c>
      <c r="D14" s="545">
        <v>115088</v>
      </c>
      <c r="E14" s="540">
        <f t="shared" si="0"/>
        <v>2483232.942152</v>
      </c>
      <c r="F14" s="541"/>
      <c r="G14" s="526"/>
      <c r="H14" s="526"/>
    </row>
    <row r="15" spans="1:8" ht="15.75">
      <c r="A15" s="542">
        <v>3</v>
      </c>
      <c r="B15" s="543" t="s">
        <v>551</v>
      </c>
      <c r="C15" s="544">
        <v>11.279132</v>
      </c>
      <c r="D15" s="545"/>
      <c r="E15" s="540">
        <f t="shared" si="0"/>
        <v>11.279132</v>
      </c>
      <c r="F15" s="541"/>
      <c r="G15" s="526"/>
      <c r="H15" s="526"/>
    </row>
    <row r="16" spans="1:8" ht="15.75">
      <c r="A16" s="542">
        <v>4</v>
      </c>
      <c r="B16" s="543" t="s">
        <v>538</v>
      </c>
      <c r="C16" s="544">
        <v>1070905.754163</v>
      </c>
      <c r="D16" s="545"/>
      <c r="E16" s="540">
        <f t="shared" si="0"/>
        <v>1070905.754163</v>
      </c>
      <c r="F16" s="541"/>
      <c r="G16" s="526"/>
      <c r="H16" s="526"/>
    </row>
    <row r="17" spans="1:8" ht="15.75">
      <c r="A17" s="542">
        <v>5</v>
      </c>
      <c r="B17" s="543" t="s">
        <v>570</v>
      </c>
      <c r="C17" s="544">
        <v>11782.601049</v>
      </c>
      <c r="D17" s="545"/>
      <c r="E17" s="540">
        <f t="shared" si="0"/>
        <v>11782.601049</v>
      </c>
      <c r="F17" s="541"/>
      <c r="G17" s="526"/>
      <c r="H17" s="526"/>
    </row>
    <row r="18" spans="1:8" ht="15.75">
      <c r="A18" s="542">
        <v>6</v>
      </c>
      <c r="B18" s="543" t="s">
        <v>337</v>
      </c>
      <c r="C18" s="544">
        <v>40841.4514773</v>
      </c>
      <c r="D18" s="545">
        <v>1371.007</v>
      </c>
      <c r="E18" s="540">
        <f t="shared" si="0"/>
        <v>42212.458477299995</v>
      </c>
      <c r="F18" s="541"/>
      <c r="G18" s="526"/>
      <c r="H18" s="526"/>
    </row>
    <row r="19" spans="1:8" s="547" customFormat="1" ht="31.5">
      <c r="A19" s="536" t="s">
        <v>50</v>
      </c>
      <c r="B19" s="537" t="s">
        <v>590</v>
      </c>
      <c r="C19" s="538">
        <v>7380.730945</v>
      </c>
      <c r="D19" s="539"/>
      <c r="E19" s="540">
        <f t="shared" si="0"/>
        <v>7380.730945</v>
      </c>
      <c r="F19" s="541"/>
      <c r="G19" s="546"/>
      <c r="H19" s="546"/>
    </row>
    <row r="20" spans="1:8" s="547" customFormat="1" ht="15.75">
      <c r="A20" s="536" t="s">
        <v>593</v>
      </c>
      <c r="B20" s="537" t="s">
        <v>594</v>
      </c>
      <c r="C20" s="538">
        <f>SUM(C21,C28)</f>
        <v>9706675.797661</v>
      </c>
      <c r="D20" s="539">
        <f>SUM(D21,D28)</f>
        <v>116459.00700000003</v>
      </c>
      <c r="E20" s="540">
        <f t="shared" si="0"/>
        <v>9823134.804661</v>
      </c>
      <c r="F20" s="541"/>
      <c r="G20" s="546"/>
      <c r="H20" s="546"/>
    </row>
    <row r="21" spans="1:8" ht="15.75">
      <c r="A21" s="536" t="s">
        <v>54</v>
      </c>
      <c r="B21" s="537" t="s">
        <v>552</v>
      </c>
      <c r="C21" s="538">
        <f>SUM(C22:C23,C26,C27)</f>
        <v>9505625.297457</v>
      </c>
      <c r="D21" s="539">
        <f>SUM(D22:D23,D26,D27)</f>
        <v>116459.00700000003</v>
      </c>
      <c r="E21" s="540">
        <f t="shared" si="0"/>
        <v>9622084.304457</v>
      </c>
      <c r="F21" s="541"/>
      <c r="G21" s="526"/>
      <c r="H21" s="526"/>
    </row>
    <row r="22" spans="1:8" ht="15.75">
      <c r="A22" s="542">
        <v>1</v>
      </c>
      <c r="B22" s="543" t="s">
        <v>339</v>
      </c>
      <c r="C22" s="544">
        <f>4643909.487822-C26</f>
        <v>3366902.165023</v>
      </c>
      <c r="D22" s="545">
        <v>18295.498521000027</v>
      </c>
      <c r="E22" s="548">
        <f t="shared" si="0"/>
        <v>3385197.663544</v>
      </c>
      <c r="F22" s="541"/>
      <c r="G22" s="526"/>
      <c r="H22" s="526"/>
    </row>
    <row r="23" spans="1:8" ht="15.75">
      <c r="A23" s="542">
        <v>2</v>
      </c>
      <c r="B23" s="543" t="s">
        <v>555</v>
      </c>
      <c r="C23" s="544">
        <f>SUM(C24:C25)</f>
        <v>4742082.484888</v>
      </c>
      <c r="D23" s="545">
        <v>104603</v>
      </c>
      <c r="E23" s="548">
        <f t="shared" si="0"/>
        <v>4846685.484888</v>
      </c>
      <c r="F23" s="541"/>
      <c r="G23" s="526"/>
      <c r="H23" s="526"/>
    </row>
    <row r="24" spans="1:8" ht="15.75">
      <c r="A24" s="542" t="s">
        <v>47</v>
      </c>
      <c r="B24" s="543" t="s">
        <v>553</v>
      </c>
      <c r="C24" s="544">
        <v>3611094.151471</v>
      </c>
      <c r="D24" s="545"/>
      <c r="E24" s="548">
        <f t="shared" si="0"/>
        <v>3611094.151471</v>
      </c>
      <c r="F24" s="541"/>
      <c r="G24" s="526"/>
      <c r="H24" s="526"/>
    </row>
    <row r="25" spans="1:8" ht="15.75">
      <c r="A25" s="542" t="s">
        <v>47</v>
      </c>
      <c r="B25" s="543" t="s">
        <v>554</v>
      </c>
      <c r="C25" s="544">
        <v>1130988.333417</v>
      </c>
      <c r="D25" s="545">
        <v>104603</v>
      </c>
      <c r="E25" s="548">
        <f t="shared" si="0"/>
        <v>1235591.333417</v>
      </c>
      <c r="F25" s="541"/>
      <c r="G25" s="526"/>
      <c r="H25" s="526"/>
    </row>
    <row r="26" spans="1:8" ht="15.75">
      <c r="A26" s="542">
        <v>3</v>
      </c>
      <c r="B26" s="543" t="s">
        <v>544</v>
      </c>
      <c r="C26" s="544">
        <v>1277007.322799</v>
      </c>
      <c r="D26" s="545">
        <v>-6439.491521</v>
      </c>
      <c r="E26" s="548">
        <f t="shared" si="0"/>
        <v>1270567.831278</v>
      </c>
      <c r="F26" s="541"/>
      <c r="G26" s="526"/>
      <c r="H26" s="526"/>
    </row>
    <row r="27" spans="1:8" ht="15.75">
      <c r="A27" s="542">
        <v>4</v>
      </c>
      <c r="B27" s="543" t="s">
        <v>580</v>
      </c>
      <c r="C27" s="544">
        <v>119633.324747</v>
      </c>
      <c r="D27" s="545"/>
      <c r="E27" s="548">
        <f t="shared" si="0"/>
        <v>119633.324747</v>
      </c>
      <c r="F27" s="541"/>
      <c r="G27" s="526"/>
      <c r="H27" s="526"/>
    </row>
    <row r="28" spans="1:8" ht="15.75">
      <c r="A28" s="536" t="s">
        <v>50</v>
      </c>
      <c r="B28" s="537" t="s">
        <v>588</v>
      </c>
      <c r="C28" s="538">
        <v>201050.500204</v>
      </c>
      <c r="D28" s="539"/>
      <c r="E28" s="548">
        <f t="shared" si="0"/>
        <v>201050.500204</v>
      </c>
      <c r="F28" s="541"/>
      <c r="G28" s="526"/>
      <c r="H28" s="526"/>
    </row>
    <row r="29" spans="1:8" ht="22.5" customHeight="1">
      <c r="A29" s="536" t="s">
        <v>595</v>
      </c>
      <c r="B29" s="537" t="s">
        <v>589</v>
      </c>
      <c r="C29" s="538">
        <f>C9-C20</f>
        <v>34.32684030011296</v>
      </c>
      <c r="D29" s="539"/>
      <c r="E29" s="540">
        <f t="shared" si="0"/>
        <v>34.32684030011296</v>
      </c>
      <c r="F29" s="541"/>
      <c r="G29" s="526"/>
      <c r="H29" s="526"/>
    </row>
    <row r="30" spans="1:8" ht="15.75">
      <c r="A30" s="536" t="s">
        <v>46</v>
      </c>
      <c r="B30" s="537" t="s">
        <v>340</v>
      </c>
      <c r="C30" s="544"/>
      <c r="D30" s="545"/>
      <c r="E30" s="540">
        <f t="shared" si="0"/>
        <v>0</v>
      </c>
      <c r="F30" s="541"/>
      <c r="G30" s="526">
        <v>5732973.607539</v>
      </c>
      <c r="H30" s="549">
        <f>E31-G30</f>
        <v>0</v>
      </c>
    </row>
    <row r="31" spans="1:8" ht="15.75">
      <c r="A31" s="536" t="s">
        <v>54</v>
      </c>
      <c r="B31" s="537" t="s">
        <v>548</v>
      </c>
      <c r="C31" s="538">
        <f>SUM(C32:C33,C36:C39)</f>
        <v>5628370.607539001</v>
      </c>
      <c r="D31" s="539">
        <f>SUM(D32:D33,D36:D39)</f>
        <v>104603</v>
      </c>
      <c r="E31" s="550">
        <f t="shared" si="0"/>
        <v>5732973.607539001</v>
      </c>
      <c r="F31" s="541"/>
      <c r="G31" s="526"/>
      <c r="H31" s="549"/>
    </row>
    <row r="32" spans="1:8" ht="15.75">
      <c r="A32" s="542">
        <v>1</v>
      </c>
      <c r="B32" s="543" t="s">
        <v>549</v>
      </c>
      <c r="C32" s="544">
        <f>174885.002152+62434.333367+205102.371392</f>
        <v>442421.706911</v>
      </c>
      <c r="D32" s="545"/>
      <c r="E32" s="548">
        <f t="shared" si="0"/>
        <v>442421.706911</v>
      </c>
      <c r="F32" s="541"/>
      <c r="G32" s="526"/>
      <c r="H32" s="526"/>
    </row>
    <row r="33" spans="1:8" ht="15.75">
      <c r="A33" s="542">
        <v>2</v>
      </c>
      <c r="B33" s="543" t="s">
        <v>550</v>
      </c>
      <c r="C33" s="544">
        <f>SUM(C34:C35)</f>
        <v>4742082.484888</v>
      </c>
      <c r="D33" s="545">
        <f>SUM(D34:D35)</f>
        <v>104603</v>
      </c>
      <c r="E33" s="548">
        <f t="shared" si="0"/>
        <v>4846685.484888</v>
      </c>
      <c r="F33" s="541"/>
      <c r="G33" s="526"/>
      <c r="H33" s="526"/>
    </row>
    <row r="34" spans="1:8" ht="15.75">
      <c r="A34" s="542" t="s">
        <v>47</v>
      </c>
      <c r="B34" s="543" t="s">
        <v>536</v>
      </c>
      <c r="C34" s="544">
        <v>3611094.151471</v>
      </c>
      <c r="D34" s="545"/>
      <c r="E34" s="548">
        <f t="shared" si="0"/>
        <v>3611094.151471</v>
      </c>
      <c r="F34" s="541"/>
      <c r="G34" s="526"/>
      <c r="H34" s="526"/>
    </row>
    <row r="35" spans="1:8" ht="15.75">
      <c r="A35" s="542" t="s">
        <v>47</v>
      </c>
      <c r="B35" s="543" t="s">
        <v>55</v>
      </c>
      <c r="C35" s="544">
        <v>1130988.333417</v>
      </c>
      <c r="D35" s="545">
        <v>104603</v>
      </c>
      <c r="E35" s="548">
        <f t="shared" si="0"/>
        <v>1235591.333417</v>
      </c>
      <c r="F35" s="541"/>
      <c r="G35" s="526"/>
      <c r="H35" s="526"/>
    </row>
    <row r="36" spans="1:8" ht="15.75">
      <c r="A36" s="542">
        <v>3</v>
      </c>
      <c r="B36" s="543" t="s">
        <v>551</v>
      </c>
      <c r="C36" s="544">
        <f>1659.4687+2017.857283</f>
        <v>3677.3259829999997</v>
      </c>
      <c r="D36" s="545"/>
      <c r="E36" s="548">
        <f t="shared" si="0"/>
        <v>3677.3259829999997</v>
      </c>
      <c r="F36" s="541"/>
      <c r="G36" s="526"/>
      <c r="H36" s="526"/>
    </row>
    <row r="37" spans="1:8" ht="15.75">
      <c r="A37" s="542">
        <v>4</v>
      </c>
      <c r="B37" s="543" t="s">
        <v>538</v>
      </c>
      <c r="C37" s="544">
        <f>374885.834132+45679.130361</f>
        <v>420564.964493</v>
      </c>
      <c r="D37" s="545"/>
      <c r="E37" s="548">
        <f t="shared" si="0"/>
        <v>420564.964493</v>
      </c>
      <c r="F37" s="541"/>
      <c r="G37" s="526"/>
      <c r="H37" s="526"/>
    </row>
    <row r="38" spans="1:8" ht="15.75">
      <c r="A38" s="542">
        <v>5</v>
      </c>
      <c r="B38" s="543" t="s">
        <v>570</v>
      </c>
      <c r="C38" s="544">
        <v>7589.840926</v>
      </c>
      <c r="D38" s="545"/>
      <c r="E38" s="548">
        <f t="shared" si="0"/>
        <v>7589.840926</v>
      </c>
      <c r="F38" s="541"/>
      <c r="G38" s="526"/>
      <c r="H38" s="526"/>
    </row>
    <row r="39" spans="1:8" ht="15.75">
      <c r="A39" s="542">
        <v>6</v>
      </c>
      <c r="B39" s="543" t="s">
        <v>337</v>
      </c>
      <c r="C39" s="544">
        <f>12034.284338</f>
        <v>12034.284338</v>
      </c>
      <c r="D39" s="545"/>
      <c r="E39" s="548">
        <f t="shared" si="0"/>
        <v>12034.284338</v>
      </c>
      <c r="F39" s="541"/>
      <c r="G39" s="526"/>
      <c r="H39" s="526"/>
    </row>
    <row r="40" spans="1:8" ht="15.75">
      <c r="A40" s="536" t="s">
        <v>50</v>
      </c>
      <c r="B40" s="537" t="s">
        <v>552</v>
      </c>
      <c r="C40" s="538">
        <f>SUM(C41:C42,C45,C46)</f>
        <v>5623135.7438509995</v>
      </c>
      <c r="D40" s="539">
        <f>SUM(D41:D42,D45,D46)</f>
        <v>104499.617451</v>
      </c>
      <c r="E40" s="540">
        <f t="shared" si="0"/>
        <v>5727635.361302</v>
      </c>
      <c r="F40" s="541"/>
      <c r="G40" s="526">
        <v>5727635.361302</v>
      </c>
      <c r="H40" s="551">
        <f>E40-G40</f>
        <v>0</v>
      </c>
    </row>
    <row r="41" spans="1:8" ht="15.75">
      <c r="A41" s="542">
        <v>1</v>
      </c>
      <c r="B41" s="543" t="s">
        <v>578</v>
      </c>
      <c r="C41" s="544">
        <f>4539946.793103+1030313.214933-933783.599415-488981.883781</f>
        <v>4147494.524840001</v>
      </c>
      <c r="D41" s="545">
        <f>90946.405772-D42</f>
        <v>73390.988868</v>
      </c>
      <c r="E41" s="548">
        <f t="shared" si="0"/>
        <v>4220885.513708001</v>
      </c>
      <c r="F41" s="541"/>
      <c r="G41" s="526"/>
      <c r="H41" s="526"/>
    </row>
    <row r="42" spans="1:8" ht="15.75">
      <c r="A42" s="542">
        <v>2</v>
      </c>
      <c r="B42" s="543" t="s">
        <v>579</v>
      </c>
      <c r="C42" s="544">
        <f>SUM(C43:C44)</f>
        <v>933783.5994149989</v>
      </c>
      <c r="D42" s="545">
        <f>SUM(D43:D44)</f>
        <v>17555.416904</v>
      </c>
      <c r="E42" s="548">
        <f t="shared" si="0"/>
        <v>951339.0163189989</v>
      </c>
      <c r="F42" s="541"/>
      <c r="G42" s="526"/>
      <c r="H42" s="526"/>
    </row>
    <row r="43" spans="1:8" ht="15.75">
      <c r="A43" s="542" t="s">
        <v>47</v>
      </c>
      <c r="B43" s="543" t="s">
        <v>553</v>
      </c>
      <c r="C43" s="544">
        <v>600333.419682</v>
      </c>
      <c r="D43" s="545"/>
      <c r="E43" s="548">
        <f t="shared" si="0"/>
        <v>600333.419682</v>
      </c>
      <c r="F43" s="541"/>
      <c r="G43" s="526"/>
      <c r="H43" s="526"/>
    </row>
    <row r="44" spans="1:8" ht="15.75">
      <c r="A44" s="542" t="s">
        <v>47</v>
      </c>
      <c r="B44" s="543" t="s">
        <v>554</v>
      </c>
      <c r="C44" s="544">
        <v>333450.179732999</v>
      </c>
      <c r="D44" s="545">
        <v>17555.416904</v>
      </c>
      <c r="E44" s="548">
        <f t="shared" si="0"/>
        <v>351005.596636999</v>
      </c>
      <c r="F44" s="541"/>
      <c r="G44" s="526"/>
      <c r="H44" s="526"/>
    </row>
    <row r="45" spans="1:8" ht="15.75">
      <c r="A45" s="542">
        <v>3</v>
      </c>
      <c r="B45" s="543" t="s">
        <v>544</v>
      </c>
      <c r="C45" s="552">
        <v>488981.883781</v>
      </c>
      <c r="D45" s="545">
        <v>12182.204679</v>
      </c>
      <c r="E45" s="548">
        <f t="shared" si="0"/>
        <v>501164.08846</v>
      </c>
      <c r="F45" s="541"/>
      <c r="G45" s="526"/>
      <c r="H45" s="526"/>
    </row>
    <row r="46" spans="1:8" ht="15.75">
      <c r="A46" s="542">
        <v>4</v>
      </c>
      <c r="B46" s="543" t="s">
        <v>580</v>
      </c>
      <c r="C46" s="544">
        <f>40841.451477+12034.284338</f>
        <v>52875.735815</v>
      </c>
      <c r="D46" s="545">
        <v>1371.007</v>
      </c>
      <c r="E46" s="548">
        <f t="shared" si="0"/>
        <v>54246.742815</v>
      </c>
      <c r="F46" s="541"/>
      <c r="G46" s="526"/>
      <c r="H46" s="526"/>
    </row>
    <row r="47" spans="1:8" ht="20.25" customHeight="1">
      <c r="A47" s="536" t="s">
        <v>53</v>
      </c>
      <c r="B47" s="537" t="s">
        <v>11</v>
      </c>
      <c r="C47" s="538">
        <f>C31-C40</f>
        <v>5234.863688001409</v>
      </c>
      <c r="D47" s="539">
        <f>D31-D40</f>
        <v>103.38254900000175</v>
      </c>
      <c r="E47" s="550">
        <f t="shared" si="0"/>
        <v>5338.246237001411</v>
      </c>
      <c r="F47" s="541"/>
      <c r="G47" s="526"/>
      <c r="H47" s="526"/>
    </row>
    <row r="48" spans="1:5" ht="19.5" customHeight="1">
      <c r="A48" s="553"/>
      <c r="B48" s="554"/>
      <c r="C48" s="554"/>
      <c r="D48" s="554"/>
      <c r="E48" s="554"/>
    </row>
    <row r="49" spans="1:5" s="555" customFormat="1" ht="43.5" customHeight="1">
      <c r="A49" s="609"/>
      <c r="B49" s="609"/>
      <c r="C49" s="609"/>
      <c r="D49" s="609"/>
      <c r="E49" s="609"/>
    </row>
    <row r="50" spans="1:5" ht="15.75">
      <c r="A50" s="609"/>
      <c r="B50" s="609"/>
      <c r="C50" s="609"/>
      <c r="D50" s="609"/>
      <c r="E50" s="609"/>
    </row>
    <row r="51" ht="15">
      <c r="A51" s="556"/>
    </row>
    <row r="52" ht="15">
      <c r="A52" s="556"/>
    </row>
  </sheetData>
  <sheetProtection/>
  <mergeCells count="4">
    <mergeCell ref="A2:E2"/>
    <mergeCell ref="A3:E3"/>
    <mergeCell ref="A49:E49"/>
    <mergeCell ref="A50:E50"/>
  </mergeCells>
  <printOptions horizontalCentered="1"/>
  <pageMargins left="0" right="0" top="0.5" bottom="0" header="0.5" footer="0.5"/>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33"/>
  <sheetViews>
    <sheetView zoomScale="70" zoomScaleNormal="70" zoomScalePageLayoutView="0" workbookViewId="0" topLeftCell="A1">
      <selection activeCell="D13" sqref="D13"/>
    </sheetView>
  </sheetViews>
  <sheetFormatPr defaultColWidth="9.125" defaultRowHeight="14.25"/>
  <cols>
    <col min="1" max="1" width="51.125" style="154" customWidth="1"/>
    <col min="2" max="2" width="15.00390625" style="154" customWidth="1"/>
    <col min="3" max="3" width="14.875" style="154" customWidth="1"/>
    <col min="4" max="5" width="14.75390625" style="154" customWidth="1"/>
    <col min="6" max="6" width="40.625" style="154" customWidth="1"/>
    <col min="7" max="7" width="15.625" style="154" customWidth="1"/>
    <col min="8" max="8" width="14.75390625" style="154" customWidth="1"/>
    <col min="9" max="9" width="14.625" style="154" customWidth="1"/>
    <col min="10" max="10" width="15.125" style="154" customWidth="1"/>
    <col min="11" max="11" width="19.125" style="154" customWidth="1"/>
    <col min="12" max="16384" width="9.125" style="154" customWidth="1"/>
  </cols>
  <sheetData>
    <row r="1" spans="1:10" s="153" customFormat="1" ht="27" customHeight="1">
      <c r="A1" s="615"/>
      <c r="B1" s="615"/>
      <c r="I1" s="614" t="s">
        <v>677</v>
      </c>
      <c r="J1" s="614"/>
    </row>
    <row r="2" spans="1:2" ht="24" customHeight="1">
      <c r="A2" s="586"/>
      <c r="B2" s="586"/>
    </row>
    <row r="3" spans="1:11" ht="30" customHeight="1">
      <c r="A3" s="617" t="s">
        <v>629</v>
      </c>
      <c r="B3" s="617"/>
      <c r="C3" s="617"/>
      <c r="D3" s="617"/>
      <c r="E3" s="617"/>
      <c r="F3" s="617"/>
      <c r="G3" s="617"/>
      <c r="H3" s="617"/>
      <c r="I3" s="617"/>
      <c r="J3" s="617"/>
      <c r="K3" s="240"/>
    </row>
    <row r="4" spans="1:11" ht="30" customHeight="1">
      <c r="A4" s="618" t="s">
        <v>680</v>
      </c>
      <c r="B4" s="618"/>
      <c r="C4" s="618"/>
      <c r="D4" s="618"/>
      <c r="E4" s="618"/>
      <c r="F4" s="618"/>
      <c r="G4" s="618"/>
      <c r="H4" s="618"/>
      <c r="I4" s="618"/>
      <c r="J4" s="618"/>
      <c r="K4" s="240"/>
    </row>
    <row r="5" spans="9:10" ht="26.25" customHeight="1">
      <c r="I5" s="570" t="s">
        <v>48</v>
      </c>
      <c r="J5" s="570"/>
    </row>
    <row r="6" spans="1:10" ht="52.5" customHeight="1">
      <c r="A6" s="155" t="s">
        <v>486</v>
      </c>
      <c r="B6" s="155" t="s">
        <v>67</v>
      </c>
      <c r="C6" s="155" t="s">
        <v>386</v>
      </c>
      <c r="D6" s="155" t="s">
        <v>387</v>
      </c>
      <c r="E6" s="155" t="s">
        <v>388</v>
      </c>
      <c r="F6" s="155" t="s">
        <v>487</v>
      </c>
      <c r="G6" s="155" t="s">
        <v>67</v>
      </c>
      <c r="H6" s="155" t="s">
        <v>488</v>
      </c>
      <c r="I6" s="155" t="s">
        <v>489</v>
      </c>
      <c r="J6" s="155" t="s">
        <v>490</v>
      </c>
    </row>
    <row r="7" spans="1:10" ht="16.5" customHeight="1">
      <c r="A7" s="156">
        <v>1</v>
      </c>
      <c r="B7" s="156">
        <v>2</v>
      </c>
      <c r="C7" s="156">
        <v>3</v>
      </c>
      <c r="D7" s="156">
        <v>4</v>
      </c>
      <c r="E7" s="156">
        <v>5</v>
      </c>
      <c r="F7" s="156">
        <v>6</v>
      </c>
      <c r="G7" s="156">
        <v>7</v>
      </c>
      <c r="H7" s="156">
        <v>8</v>
      </c>
      <c r="I7" s="156">
        <v>9</v>
      </c>
      <c r="J7" s="156">
        <v>10</v>
      </c>
    </row>
    <row r="8" spans="1:14" ht="27.75" customHeight="1">
      <c r="A8" s="241" t="s">
        <v>592</v>
      </c>
      <c r="B8" s="225">
        <f>SUM(B9,B21)</f>
        <v>16507481.755358998</v>
      </c>
      <c r="C8" s="225">
        <f>SUM(C9,C21)</f>
        <v>9823169.131501</v>
      </c>
      <c r="D8" s="225">
        <f>SUM(D9,D21)</f>
        <v>5622842.286528001</v>
      </c>
      <c r="E8" s="225">
        <f>SUM(E9,E21)</f>
        <v>1061470.33733</v>
      </c>
      <c r="F8" s="241" t="s">
        <v>594</v>
      </c>
      <c r="G8" s="225">
        <f>SUM(G9,G21)</f>
        <v>16502109.182282</v>
      </c>
      <c r="H8" s="225">
        <f>SUM(H9,H21)</f>
        <v>9823134.804661002</v>
      </c>
      <c r="I8" s="225">
        <f>SUM(I9,I21)</f>
        <v>5619071.461445999</v>
      </c>
      <c r="J8" s="225">
        <f>SUM(J9,J21)</f>
        <v>1059902.916175</v>
      </c>
      <c r="K8" s="240">
        <f>B8-G8-B20</f>
        <v>-2.7939677238464355E-09</v>
      </c>
      <c r="L8" s="240">
        <f>C8-H8-C20</f>
        <v>0</v>
      </c>
      <c r="M8" s="240">
        <f>D8-I8-D20</f>
        <v>0</v>
      </c>
      <c r="N8" s="240">
        <f>E8-J8-E20</f>
        <v>0</v>
      </c>
    </row>
    <row r="9" spans="1:10" ht="36.75" customHeight="1">
      <c r="A9" s="242" t="s">
        <v>491</v>
      </c>
      <c r="B9" s="243">
        <f>SUM(B10:B16,B19:B19)</f>
        <v>16500101.024413997</v>
      </c>
      <c r="C9" s="243">
        <f>SUM(C10:C16,C19:C19)</f>
        <v>9815788.400556</v>
      </c>
      <c r="D9" s="243">
        <f>SUM(D10:D16,D19:D19)</f>
        <v>5622842.286528001</v>
      </c>
      <c r="E9" s="243">
        <f>SUM(E10:E16,E19:E19)</f>
        <v>1061470.33733</v>
      </c>
      <c r="F9" s="242" t="s">
        <v>492</v>
      </c>
      <c r="G9" s="243">
        <f>SUM(G10:G16)</f>
        <v>16301058.682078</v>
      </c>
      <c r="H9" s="243">
        <f>SUM(H10:H16)</f>
        <v>9622084.304457001</v>
      </c>
      <c r="I9" s="243">
        <f>SUM(I10:I16)</f>
        <v>5619071.461445999</v>
      </c>
      <c r="J9" s="243">
        <f>SUM(J10:J16)</f>
        <v>1059902.916175</v>
      </c>
    </row>
    <row r="10" spans="1:10" ht="34.5" customHeight="1">
      <c r="A10" s="157" t="s">
        <v>493</v>
      </c>
      <c r="B10" s="151">
        <f>SUM(C10:E10)</f>
        <v>539404.367824</v>
      </c>
      <c r="C10" s="151">
        <v>302085.0323049999</v>
      </c>
      <c r="D10" s="151">
        <v>174885.0021520001</v>
      </c>
      <c r="E10" s="151">
        <v>62434.333367</v>
      </c>
      <c r="F10" s="157" t="s">
        <v>494</v>
      </c>
      <c r="G10" s="151">
        <f>SUM(H10:J10)</f>
        <v>1995365.9543070002</v>
      </c>
      <c r="H10" s="48">
        <v>1431069.011022</v>
      </c>
      <c r="I10" s="151">
        <v>373649.491828</v>
      </c>
      <c r="J10" s="151">
        <v>190647.451457</v>
      </c>
    </row>
    <row r="11" spans="1:10" ht="34.5" customHeight="1">
      <c r="A11" s="157" t="s">
        <v>495</v>
      </c>
      <c r="B11" s="151">
        <f aca="true" t="shared" si="0" ref="B11:B18">SUM(C11:E11)</f>
        <v>443761.70467</v>
      </c>
      <c r="C11" s="151">
        <v>238659.33327799998</v>
      </c>
      <c r="D11" s="151">
        <v>205102.37139200003</v>
      </c>
      <c r="E11" s="151">
        <v>0</v>
      </c>
      <c r="F11" s="157" t="s">
        <v>496</v>
      </c>
      <c r="G11" s="151">
        <f aca="true" t="shared" si="1" ref="G11:G16">SUM(H11:J11)</f>
        <v>1681.227623</v>
      </c>
      <c r="H11" s="151">
        <v>1681.227623</v>
      </c>
      <c r="I11" s="151"/>
      <c r="J11" s="151"/>
    </row>
    <row r="12" spans="1:10" ht="34.5" customHeight="1">
      <c r="A12" s="157" t="s">
        <v>497</v>
      </c>
      <c r="B12" s="151">
        <f t="shared" si="0"/>
        <v>0</v>
      </c>
      <c r="C12" s="151"/>
      <c r="D12" s="151"/>
      <c r="E12" s="151"/>
      <c r="F12" s="157" t="s">
        <v>498</v>
      </c>
      <c r="G12" s="151">
        <f>SUM(H12:J12)</f>
        <v>6559375.0116409995</v>
      </c>
      <c r="H12" s="151">
        <v>1951447.4248990004</v>
      </c>
      <c r="I12" s="151">
        <v>3832098.056416</v>
      </c>
      <c r="J12" s="151">
        <v>775829.530326</v>
      </c>
    </row>
    <row r="13" spans="1:10" ht="34.5" customHeight="1">
      <c r="A13" s="157" t="s">
        <v>233</v>
      </c>
      <c r="B13" s="151">
        <f t="shared" si="0"/>
        <v>3688.605115</v>
      </c>
      <c r="C13" s="151">
        <v>11.279132</v>
      </c>
      <c r="D13" s="151">
        <v>1659.4687</v>
      </c>
      <c r="E13" s="151">
        <v>2017.857283</v>
      </c>
      <c r="F13" s="157" t="s">
        <v>234</v>
      </c>
      <c r="G13" s="151">
        <f>SUM(H13:J13)</f>
        <v>1000</v>
      </c>
      <c r="H13" s="151">
        <v>1000</v>
      </c>
      <c r="I13" s="151"/>
      <c r="J13" s="151"/>
    </row>
    <row r="14" spans="1:10" ht="34.5" customHeight="1">
      <c r="A14" s="157" t="s">
        <v>235</v>
      </c>
      <c r="B14" s="151">
        <f t="shared" si="0"/>
        <v>1491470.7186560002</v>
      </c>
      <c r="C14" s="151">
        <v>1070905.754163</v>
      </c>
      <c r="D14" s="151">
        <v>374885.834132</v>
      </c>
      <c r="E14" s="151">
        <v>45679.130361</v>
      </c>
      <c r="F14" s="157" t="s">
        <v>236</v>
      </c>
      <c r="G14" s="151">
        <f>SUM(H14:J14)</f>
        <v>5798024.501207001</v>
      </c>
      <c r="H14" s="151">
        <v>4846685.484888</v>
      </c>
      <c r="I14" s="151">
        <v>951339.016319</v>
      </c>
      <c r="J14" s="151"/>
    </row>
    <row r="15" spans="1:10" ht="27.75" customHeight="1">
      <c r="A15" s="157" t="s">
        <v>237</v>
      </c>
      <c r="B15" s="151">
        <f t="shared" si="0"/>
        <v>19372.441975</v>
      </c>
      <c r="C15" s="151">
        <v>11782.601049</v>
      </c>
      <c r="D15" s="151">
        <v>7589.840926</v>
      </c>
      <c r="E15" s="151">
        <v>0</v>
      </c>
      <c r="F15" s="157" t="s">
        <v>238</v>
      </c>
      <c r="G15" s="151">
        <f t="shared" si="1"/>
        <v>1771731.919738</v>
      </c>
      <c r="H15" s="151">
        <v>1270567.831278</v>
      </c>
      <c r="I15" s="151">
        <v>419772.438406</v>
      </c>
      <c r="J15" s="151">
        <v>81391.650054</v>
      </c>
    </row>
    <row r="16" spans="1:10" s="159" customFormat="1" ht="34.5" customHeight="1">
      <c r="A16" s="158" t="s">
        <v>239</v>
      </c>
      <c r="B16" s="150">
        <f>SUM(C16:E16)</f>
        <v>13948156.443358999</v>
      </c>
      <c r="C16" s="150">
        <f>SUM(C17:C18)</f>
        <v>8150131.942152</v>
      </c>
      <c r="D16" s="150">
        <f>SUM(D17:D18)</f>
        <v>4846685.484888</v>
      </c>
      <c r="E16" s="150">
        <f>SUM(E17:E18)</f>
        <v>951339.0163189999</v>
      </c>
      <c r="F16" s="158" t="s">
        <v>240</v>
      </c>
      <c r="G16" s="150">
        <f t="shared" si="1"/>
        <v>173880.067562</v>
      </c>
      <c r="H16" s="150">
        <v>119633.324747</v>
      </c>
      <c r="I16" s="150">
        <v>42212.458477</v>
      </c>
      <c r="J16" s="150">
        <v>12034.284338</v>
      </c>
    </row>
    <row r="17" spans="1:10" s="159" customFormat="1" ht="34.5" customHeight="1">
      <c r="A17" s="158" t="s">
        <v>241</v>
      </c>
      <c r="B17" s="150">
        <f>SUM(C17:E17)</f>
        <v>9878326.571153</v>
      </c>
      <c r="C17" s="150">
        <v>5666899</v>
      </c>
      <c r="D17" s="150">
        <v>3611094.151471</v>
      </c>
      <c r="E17" s="150">
        <v>600333.419682</v>
      </c>
      <c r="F17" s="158"/>
      <c r="G17" s="150"/>
      <c r="H17" s="150"/>
      <c r="I17" s="150"/>
      <c r="J17" s="150"/>
    </row>
    <row r="18" spans="1:10" s="159" customFormat="1" ht="27.75" customHeight="1">
      <c r="A18" s="158" t="s">
        <v>242</v>
      </c>
      <c r="B18" s="150">
        <f t="shared" si="0"/>
        <v>4069829.872206</v>
      </c>
      <c r="C18" s="150">
        <f>2368144.942152+115088</f>
        <v>2483232.942152</v>
      </c>
      <c r="D18" s="150">
        <v>1235591.333417</v>
      </c>
      <c r="E18" s="150">
        <v>351005.596637</v>
      </c>
      <c r="F18" s="158"/>
      <c r="G18" s="150"/>
      <c r="H18" s="150"/>
      <c r="I18" s="150"/>
      <c r="J18" s="150"/>
    </row>
    <row r="19" spans="1:10" s="159" customFormat="1" ht="34.5" customHeight="1">
      <c r="A19" s="158" t="s">
        <v>243</v>
      </c>
      <c r="B19" s="150">
        <f>SUM(C19:E19)</f>
        <v>54246.742815</v>
      </c>
      <c r="C19" s="150">
        <v>42212.458477</v>
      </c>
      <c r="D19" s="150">
        <v>12034.284338</v>
      </c>
      <c r="E19" s="150">
        <v>0</v>
      </c>
      <c r="F19" s="158"/>
      <c r="G19" s="150"/>
      <c r="H19" s="150"/>
      <c r="I19" s="150"/>
      <c r="J19" s="150"/>
    </row>
    <row r="20" spans="1:10" ht="32.25" customHeight="1">
      <c r="A20" s="160" t="s">
        <v>244</v>
      </c>
      <c r="B20" s="226">
        <f>SUM(C20:E20)</f>
        <v>5372.573076999746</v>
      </c>
      <c r="C20" s="226">
        <f>C8-H8</f>
        <v>34.32683999836445</v>
      </c>
      <c r="D20" s="226">
        <f>D8-I8</f>
        <v>3770.8250820012763</v>
      </c>
      <c r="E20" s="226">
        <f>E8-J8</f>
        <v>1567.4211550001055</v>
      </c>
      <c r="F20" s="161"/>
      <c r="G20" s="224"/>
      <c r="H20" s="224"/>
      <c r="I20" s="224"/>
      <c r="J20" s="224"/>
    </row>
    <row r="21" spans="1:10" ht="30" customHeight="1">
      <c r="A21" s="162" t="s">
        <v>245</v>
      </c>
      <c r="B21" s="227">
        <f>SUM(C21)</f>
        <v>7380.730945</v>
      </c>
      <c r="C21" s="227">
        <f>SUM(C22)</f>
        <v>7380.730945</v>
      </c>
      <c r="D21" s="228"/>
      <c r="E21" s="225"/>
      <c r="F21" s="163" t="s">
        <v>246</v>
      </c>
      <c r="G21" s="225">
        <f>SUM(G22:G24)</f>
        <v>201050.50020399998</v>
      </c>
      <c r="H21" s="225">
        <f>SUM(H22:H24)</f>
        <v>201050.50020399998</v>
      </c>
      <c r="I21" s="225">
        <f>SUM(I22:I24)</f>
        <v>0</v>
      </c>
      <c r="J21" s="225">
        <f>SUM(J22:J24)</f>
        <v>0</v>
      </c>
    </row>
    <row r="22" spans="1:10" ht="36" customHeight="1">
      <c r="A22" s="157" t="s">
        <v>633</v>
      </c>
      <c r="B22" s="151">
        <f>SUM(C22)</f>
        <v>7380.730945</v>
      </c>
      <c r="C22" s="151">
        <v>7380.730945</v>
      </c>
      <c r="D22" s="151"/>
      <c r="E22" s="151"/>
      <c r="F22" s="157" t="s">
        <v>247</v>
      </c>
      <c r="G22" s="151">
        <f>SUM(H22:J22)</f>
        <v>140869.769259</v>
      </c>
      <c r="H22" s="151">
        <v>140869.769259</v>
      </c>
      <c r="I22" s="151"/>
      <c r="J22" s="151"/>
    </row>
    <row r="23" spans="1:10" ht="28.5" customHeight="1">
      <c r="A23" s="157"/>
      <c r="B23" s="151"/>
      <c r="C23" s="151"/>
      <c r="D23" s="151"/>
      <c r="E23" s="151"/>
      <c r="F23" s="157" t="s">
        <v>634</v>
      </c>
      <c r="G23" s="151">
        <f>SUM(H23:J23)</f>
        <v>7380.730945</v>
      </c>
      <c r="H23" s="151">
        <v>7380.730945</v>
      </c>
      <c r="I23" s="151"/>
      <c r="J23" s="151"/>
    </row>
    <row r="24" spans="1:10" ht="24.75" customHeight="1">
      <c r="A24" s="161"/>
      <c r="B24" s="224"/>
      <c r="C24" s="224"/>
      <c r="D24" s="224"/>
      <c r="E24" s="224"/>
      <c r="F24" s="161" t="s">
        <v>248</v>
      </c>
      <c r="G24" s="224">
        <f>SUM(H24:J24)</f>
        <v>52800</v>
      </c>
      <c r="H24" s="224">
        <v>52800</v>
      </c>
      <c r="I24" s="224"/>
      <c r="J24" s="224"/>
    </row>
    <row r="25" ht="15.75">
      <c r="A25" s="164"/>
    </row>
    <row r="26" spans="1:10" ht="18.75">
      <c r="A26" s="616"/>
      <c r="B26" s="616"/>
      <c r="D26" s="616"/>
      <c r="E26" s="616"/>
      <c r="F26" s="616"/>
      <c r="G26" s="616"/>
      <c r="H26" s="616"/>
      <c r="I26" s="616"/>
      <c r="J26" s="616"/>
    </row>
    <row r="27" spans="1:10" ht="28.5" customHeight="1">
      <c r="A27" s="611"/>
      <c r="B27" s="611"/>
      <c r="D27" s="612"/>
      <c r="E27" s="612"/>
      <c r="F27" s="612"/>
      <c r="G27" s="612"/>
      <c r="H27" s="612"/>
      <c r="I27" s="612"/>
      <c r="J27" s="612"/>
    </row>
    <row r="28" spans="1:10" ht="15.75">
      <c r="A28" s="613"/>
      <c r="B28" s="613"/>
      <c r="D28" s="613"/>
      <c r="E28" s="613"/>
      <c r="F28" s="613"/>
      <c r="G28" s="613"/>
      <c r="H28" s="613"/>
      <c r="I28" s="613"/>
      <c r="J28" s="613"/>
    </row>
    <row r="29" spans="1:10" ht="15.75">
      <c r="A29" s="165"/>
      <c r="D29" s="165"/>
      <c r="E29" s="165"/>
      <c r="F29" s="165"/>
      <c r="G29" s="165"/>
      <c r="H29" s="165"/>
      <c r="I29" s="165"/>
      <c r="J29" s="165"/>
    </row>
    <row r="30" spans="1:10" ht="15.75">
      <c r="A30" s="165"/>
      <c r="D30" s="165"/>
      <c r="E30" s="165"/>
      <c r="F30" s="165"/>
      <c r="G30" s="165"/>
      <c r="H30" s="165"/>
      <c r="I30" s="165"/>
      <c r="J30" s="165"/>
    </row>
    <row r="31" spans="1:10" ht="15.75">
      <c r="A31" s="165"/>
      <c r="D31" s="165"/>
      <c r="E31" s="165"/>
      <c r="F31" s="165"/>
      <c r="G31" s="165"/>
      <c r="H31" s="165"/>
      <c r="I31" s="165"/>
      <c r="J31" s="165"/>
    </row>
    <row r="32" spans="1:10" ht="39.75" customHeight="1">
      <c r="A32" s="610"/>
      <c r="B32" s="610"/>
      <c r="C32" s="610"/>
      <c r="D32" s="610"/>
      <c r="E32" s="610"/>
      <c r="F32" s="610"/>
      <c r="G32" s="610"/>
      <c r="H32" s="610"/>
      <c r="I32" s="610"/>
      <c r="J32" s="610"/>
    </row>
    <row r="33" ht="15.75">
      <c r="A33" s="166"/>
    </row>
  </sheetData>
  <sheetProtection/>
  <mergeCells count="16">
    <mergeCell ref="I1:J1"/>
    <mergeCell ref="A1:B1"/>
    <mergeCell ref="I5:J5"/>
    <mergeCell ref="A26:B26"/>
    <mergeCell ref="D26:F26"/>
    <mergeCell ref="G26:J26"/>
    <mergeCell ref="A2:B2"/>
    <mergeCell ref="A3:J3"/>
    <mergeCell ref="A4:J4"/>
    <mergeCell ref="A32:J32"/>
    <mergeCell ref="A27:B27"/>
    <mergeCell ref="D27:F27"/>
    <mergeCell ref="G27:J27"/>
    <mergeCell ref="A28:B28"/>
    <mergeCell ref="D28:F28"/>
    <mergeCell ref="G28:J28"/>
  </mergeCells>
  <printOptions horizontalCentered="1"/>
  <pageMargins left="0" right="0" top="0.826771653543307" bottom="0" header="0.511811023622047" footer="0.511811023622047"/>
  <pageSetup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dimension ref="A1:L145"/>
  <sheetViews>
    <sheetView zoomScale="70" zoomScaleNormal="70" zoomScalePageLayoutView="0" workbookViewId="0" topLeftCell="A30">
      <selection activeCell="B8" sqref="B8"/>
    </sheetView>
  </sheetViews>
  <sheetFormatPr defaultColWidth="9.125" defaultRowHeight="14.25"/>
  <cols>
    <col min="1" max="1" width="6.25390625" style="89" customWidth="1"/>
    <col min="2" max="2" width="41.00390625" style="89" customWidth="1"/>
    <col min="3" max="3" width="13.875" style="90" bestFit="1" customWidth="1"/>
    <col min="4" max="4" width="15.625" style="90" customWidth="1"/>
    <col min="5" max="5" width="18.125" style="91" customWidth="1"/>
    <col min="6" max="6" width="17.00390625" style="91" customWidth="1"/>
    <col min="7" max="7" width="17.875" style="91" bestFit="1" customWidth="1"/>
    <col min="8" max="8" width="18.625" style="91" bestFit="1" customWidth="1"/>
    <col min="9" max="9" width="17.75390625" style="91" customWidth="1"/>
    <col min="10" max="10" width="13.875" style="92" bestFit="1" customWidth="1"/>
    <col min="11" max="11" width="12.00390625" style="92" customWidth="1"/>
    <col min="12" max="16384" width="9.125" style="89" customWidth="1"/>
  </cols>
  <sheetData>
    <row r="1" spans="1:11" s="87" customFormat="1" ht="18.75">
      <c r="A1" s="623"/>
      <c r="B1" s="623"/>
      <c r="C1" s="84"/>
      <c r="D1" s="85"/>
      <c r="E1" s="86"/>
      <c r="F1" s="86"/>
      <c r="G1" s="86"/>
      <c r="H1" s="86"/>
      <c r="I1" s="624" t="s">
        <v>678</v>
      </c>
      <c r="J1" s="624"/>
      <c r="K1" s="624"/>
    </row>
    <row r="2" ht="15.75">
      <c r="A2" s="88"/>
    </row>
    <row r="3" spans="1:11" ht="18.75">
      <c r="A3" s="568" t="s">
        <v>630</v>
      </c>
      <c r="B3" s="568"/>
      <c r="C3" s="568"/>
      <c r="D3" s="568"/>
      <c r="E3" s="568"/>
      <c r="F3" s="568"/>
      <c r="G3" s="568"/>
      <c r="H3" s="568"/>
      <c r="I3" s="568"/>
      <c r="J3" s="568"/>
      <c r="K3" s="568"/>
    </row>
    <row r="4" spans="1:11" ht="34.5" customHeight="1">
      <c r="A4" s="618" t="s">
        <v>680</v>
      </c>
      <c r="B4" s="618"/>
      <c r="C4" s="618"/>
      <c r="D4" s="618"/>
      <c r="E4" s="618"/>
      <c r="F4" s="618"/>
      <c r="G4" s="618"/>
      <c r="H4" s="618"/>
      <c r="I4" s="618"/>
      <c r="J4" s="618"/>
      <c r="K4" s="618"/>
    </row>
    <row r="5" spans="10:11" ht="15.75" customHeight="1">
      <c r="J5" s="625" t="s">
        <v>48</v>
      </c>
      <c r="K5" s="625"/>
    </row>
    <row r="6" spans="1:11" ht="31.5" customHeight="1">
      <c r="A6" s="571" t="s">
        <v>43</v>
      </c>
      <c r="B6" s="571" t="s">
        <v>44</v>
      </c>
      <c r="C6" s="619" t="s">
        <v>314</v>
      </c>
      <c r="D6" s="619"/>
      <c r="E6" s="573" t="s">
        <v>4</v>
      </c>
      <c r="F6" s="626" t="s">
        <v>383</v>
      </c>
      <c r="G6" s="626"/>
      <c r="H6" s="626"/>
      <c r="I6" s="626"/>
      <c r="J6" s="578" t="s">
        <v>384</v>
      </c>
      <c r="K6" s="578"/>
    </row>
    <row r="7" spans="1:11" ht="38.25" customHeight="1">
      <c r="A7" s="572"/>
      <c r="B7" s="572"/>
      <c r="C7" s="94" t="s">
        <v>631</v>
      </c>
      <c r="D7" s="94" t="s">
        <v>632</v>
      </c>
      <c r="E7" s="574"/>
      <c r="F7" s="95" t="s">
        <v>385</v>
      </c>
      <c r="G7" s="95" t="s">
        <v>386</v>
      </c>
      <c r="H7" s="95" t="s">
        <v>387</v>
      </c>
      <c r="I7" s="95" t="s">
        <v>388</v>
      </c>
      <c r="J7" s="94" t="s">
        <v>631</v>
      </c>
      <c r="K7" s="96" t="s">
        <v>632</v>
      </c>
    </row>
    <row r="8" spans="1:11" s="101" customFormat="1" ht="24" customHeight="1">
      <c r="A8" s="97" t="s">
        <v>45</v>
      </c>
      <c r="B8" s="97" t="s">
        <v>46</v>
      </c>
      <c r="C8" s="98">
        <v>1</v>
      </c>
      <c r="D8" s="98">
        <v>2</v>
      </c>
      <c r="E8" s="99" t="s">
        <v>389</v>
      </c>
      <c r="F8" s="98">
        <v>4</v>
      </c>
      <c r="G8" s="98">
        <v>5</v>
      </c>
      <c r="H8" s="98">
        <v>6</v>
      </c>
      <c r="I8" s="98">
        <v>7</v>
      </c>
      <c r="J8" s="100" t="s">
        <v>390</v>
      </c>
      <c r="K8" s="100" t="s">
        <v>391</v>
      </c>
    </row>
    <row r="9" spans="1:11" s="105" customFormat="1" ht="24" customHeight="1">
      <c r="A9" s="102"/>
      <c r="B9" s="102" t="s">
        <v>392</v>
      </c>
      <c r="C9" s="103">
        <f>SUM(C10,C114,C121,C128,C129)</f>
        <v>7884883</v>
      </c>
      <c r="D9" s="103">
        <f aca="true" t="shared" si="0" ref="D9:I9">SUM(D10,D114,D121,D128,D129)</f>
        <v>7884883</v>
      </c>
      <c r="E9" s="217">
        <f>SUM(E10,E114,E121,E128,E129)</f>
        <v>16748125.548487</v>
      </c>
      <c r="F9" s="217">
        <f t="shared" si="0"/>
        <v>240643.793128</v>
      </c>
      <c r="G9" s="217">
        <f t="shared" si="0"/>
        <v>9823169.131501</v>
      </c>
      <c r="H9" s="217">
        <f t="shared" si="0"/>
        <v>5622842.286528001</v>
      </c>
      <c r="I9" s="217">
        <f t="shared" si="0"/>
        <v>1061470.3373299998</v>
      </c>
      <c r="J9" s="104">
        <f>E9/C9</f>
        <v>2.124080414190927</v>
      </c>
      <c r="K9" s="104">
        <f>E9/D9</f>
        <v>2.124080414190927</v>
      </c>
    </row>
    <row r="10" spans="1:11" s="105" customFormat="1" ht="24" customHeight="1">
      <c r="A10" s="106" t="s">
        <v>45</v>
      </c>
      <c r="B10" s="107" t="s">
        <v>393</v>
      </c>
      <c r="C10" s="108">
        <f>SUM(C11,C83,C94,C104,C105,C108)</f>
        <v>1052500</v>
      </c>
      <c r="D10" s="108">
        <f aca="true" t="shared" si="1" ref="D10:I10">SUM(D11,D83,D94,D104,D105,D108)</f>
        <v>1052500</v>
      </c>
      <c r="E10" s="218">
        <f t="shared" si="1"/>
        <v>1123548.9828499998</v>
      </c>
      <c r="F10" s="218">
        <f t="shared" si="1"/>
        <v>121010.468381</v>
      </c>
      <c r="G10" s="218">
        <f t="shared" si="1"/>
        <v>552526.9666319999</v>
      </c>
      <c r="H10" s="218">
        <f t="shared" si="1"/>
        <v>387577.21447000006</v>
      </c>
      <c r="I10" s="218">
        <f t="shared" si="1"/>
        <v>62434.33336700001</v>
      </c>
      <c r="J10" s="109">
        <f>E10/C10</f>
        <v>1.0675049718289784</v>
      </c>
      <c r="K10" s="109">
        <f>E10/D10</f>
        <v>1.0675049718289784</v>
      </c>
    </row>
    <row r="11" spans="1:12" s="105" customFormat="1" ht="24" customHeight="1">
      <c r="A11" s="106" t="s">
        <v>54</v>
      </c>
      <c r="B11" s="107" t="s">
        <v>49</v>
      </c>
      <c r="C11" s="108">
        <f>SUM(C12,C29,C41,C50:C54,C57,C61,C64:C68,C71,C74:C75,C77,C80:C82)</f>
        <v>1037000</v>
      </c>
      <c r="D11" s="108">
        <f>SUM(D12,D29,D41,D50:D54,D57,D61,D64:D68,D71,D74:D75,D77,D80:D82)</f>
        <v>1037000</v>
      </c>
      <c r="E11" s="218">
        <f>SUM(E12,E22,E29,E41,E50:E54,E57,E61,E64:E68,E71,E74:E75,E77,E80:E82)</f>
        <v>1073935.9223349998</v>
      </c>
      <c r="F11" s="218">
        <f>SUM(F12,F22,F29,F41,F50:F54,F57,F61,F64:F68,F71,F74:F75,F77,F80:F82)</f>
        <v>104940.167603</v>
      </c>
      <c r="G11" s="218">
        <f>SUM(G12,G22,G29,G41,G50:G54,G57,G61,G64:G68,G71,G74:G75,G77,G80:G82)</f>
        <v>539801.8805829999</v>
      </c>
      <c r="H11" s="218">
        <f>SUM(H12,H22,H29,H41,H50:H54,H57,H61,H64:H68,H71,H74:H75,H77,H80:H82)</f>
        <v>377998.5687440001</v>
      </c>
      <c r="I11" s="218">
        <f>SUM(I12,I22,I29,I41,I50:I54,I57,I61,I64:I68,I71,I74:I75,I77,I80:I82)</f>
        <v>51195.30540500001</v>
      </c>
      <c r="J11" s="109">
        <f>E11/C11</f>
        <v>1.0356180543249758</v>
      </c>
      <c r="K11" s="109">
        <f>E11/D11</f>
        <v>1.0356180543249758</v>
      </c>
      <c r="L11" s="110"/>
    </row>
    <row r="12" spans="1:11" s="105" customFormat="1" ht="31.5" customHeight="1">
      <c r="A12" s="106">
        <v>1</v>
      </c>
      <c r="B12" s="107" t="s">
        <v>394</v>
      </c>
      <c r="C12" s="108">
        <f>SUM(C13,C15:C16,C18,C21)</f>
        <v>243000</v>
      </c>
      <c r="D12" s="108">
        <f>SUM(D13,D15:D16,D18,D21)</f>
        <v>243000</v>
      </c>
      <c r="E12" s="218">
        <f>SUM(E13,E15:E16,E18,E21,E20)</f>
        <v>247944.90302299996</v>
      </c>
      <c r="F12" s="218">
        <f>SUM(F13,F15:F16,F18,F21,F20)</f>
        <v>33.364661</v>
      </c>
      <c r="G12" s="218">
        <f>SUM(G13,G15:G16,G18,G21,G20)</f>
        <v>239376.76257799997</v>
      </c>
      <c r="H12" s="218">
        <f>SUM(H13,H15:H16,H18,H21,H20)</f>
        <v>8534.775784</v>
      </c>
      <c r="I12" s="218"/>
      <c r="J12" s="109">
        <f>E12/C12</f>
        <v>1.0203493951563785</v>
      </c>
      <c r="K12" s="109">
        <f>E12/D12</f>
        <v>1.0203493951563785</v>
      </c>
    </row>
    <row r="13" spans="1:11" ht="24" customHeight="1">
      <c r="A13" s="111"/>
      <c r="B13" s="112" t="s">
        <v>395</v>
      </c>
      <c r="C13" s="113">
        <f>74900+C23</f>
        <v>92370</v>
      </c>
      <c r="D13" s="113">
        <f>74810+D23</f>
        <v>91480</v>
      </c>
      <c r="E13" s="219">
        <f>SUM(F13:I13)</f>
        <v>60625.4431</v>
      </c>
      <c r="F13" s="219"/>
      <c r="G13" s="219">
        <v>59629.926151</v>
      </c>
      <c r="H13" s="219">
        <v>995.516949</v>
      </c>
      <c r="I13" s="219"/>
      <c r="J13" s="114"/>
      <c r="K13" s="114"/>
    </row>
    <row r="14" spans="1:11" s="119" customFormat="1" ht="31.5" customHeight="1" hidden="1">
      <c r="A14" s="115"/>
      <c r="B14" s="116" t="s">
        <v>396</v>
      </c>
      <c r="C14" s="117"/>
      <c r="D14" s="117"/>
      <c r="E14" s="220">
        <f aca="true" t="shared" si="2" ref="E14:E21">SUM(F14:I14)</f>
        <v>0</v>
      </c>
      <c r="F14" s="220"/>
      <c r="G14" s="220"/>
      <c r="H14" s="220"/>
      <c r="I14" s="220"/>
      <c r="J14" s="118"/>
      <c r="K14" s="118"/>
    </row>
    <row r="15" spans="1:11" ht="24" customHeight="1">
      <c r="A15" s="111"/>
      <c r="B15" s="112" t="s">
        <v>397</v>
      </c>
      <c r="C15" s="113">
        <f>1100+C24</f>
        <v>6100</v>
      </c>
      <c r="D15" s="113">
        <f>1100+D24</f>
        <v>6100</v>
      </c>
      <c r="E15" s="219">
        <f t="shared" si="2"/>
        <v>8700.814715999999</v>
      </c>
      <c r="F15" s="219"/>
      <c r="G15" s="219">
        <v>8543.727468</v>
      </c>
      <c r="H15" s="219">
        <v>157.087248</v>
      </c>
      <c r="I15" s="219"/>
      <c r="J15" s="114"/>
      <c r="K15" s="114"/>
    </row>
    <row r="16" spans="1:11" ht="24" customHeight="1">
      <c r="A16" s="111"/>
      <c r="B16" s="112" t="s">
        <v>398</v>
      </c>
      <c r="C16" s="113">
        <f>C25</f>
        <v>30</v>
      </c>
      <c r="D16" s="113">
        <f>D25</f>
        <v>30</v>
      </c>
      <c r="E16" s="219"/>
      <c r="F16" s="219"/>
      <c r="G16" s="219"/>
      <c r="H16" s="219"/>
      <c r="I16" s="219"/>
      <c r="J16" s="114"/>
      <c r="K16" s="114"/>
    </row>
    <row r="17" spans="1:11" s="119" customFormat="1" ht="31.5" customHeight="1" hidden="1">
      <c r="A17" s="115"/>
      <c r="B17" s="116" t="s">
        <v>399</v>
      </c>
      <c r="C17" s="117"/>
      <c r="D17" s="117"/>
      <c r="E17" s="220">
        <f t="shared" si="2"/>
        <v>0</v>
      </c>
      <c r="F17" s="220"/>
      <c r="G17" s="220"/>
      <c r="H17" s="220"/>
      <c r="I17" s="220"/>
      <c r="J17" s="118"/>
      <c r="K17" s="118"/>
    </row>
    <row r="18" spans="1:11" ht="24" customHeight="1">
      <c r="A18" s="111"/>
      <c r="B18" s="112" t="s">
        <v>400</v>
      </c>
      <c r="C18" s="113">
        <f>140000+C27</f>
        <v>144500</v>
      </c>
      <c r="D18" s="113">
        <f>140000+D27</f>
        <v>144500</v>
      </c>
      <c r="E18" s="219">
        <f t="shared" si="2"/>
        <v>178517.16439199998</v>
      </c>
      <c r="F18" s="219"/>
      <c r="G18" s="219">
        <v>171134.992805</v>
      </c>
      <c r="H18" s="219">
        <v>7382.171587</v>
      </c>
      <c r="I18" s="219"/>
      <c r="J18" s="114"/>
      <c r="K18" s="114"/>
    </row>
    <row r="19" spans="1:11" s="119" customFormat="1" ht="24" customHeight="1">
      <c r="A19" s="115"/>
      <c r="B19" s="116" t="s">
        <v>401</v>
      </c>
      <c r="C19" s="117"/>
      <c r="D19" s="117"/>
      <c r="E19" s="220"/>
      <c r="F19" s="220"/>
      <c r="G19" s="220"/>
      <c r="H19" s="220"/>
      <c r="I19" s="220"/>
      <c r="J19" s="118"/>
      <c r="K19" s="118"/>
    </row>
    <row r="20" spans="1:11" ht="24" customHeight="1">
      <c r="A20" s="111"/>
      <c r="B20" s="112" t="s">
        <v>402</v>
      </c>
      <c r="C20" s="113"/>
      <c r="D20" s="113"/>
      <c r="E20" s="219">
        <f t="shared" si="2"/>
        <v>1.5</v>
      </c>
      <c r="F20" s="219"/>
      <c r="G20" s="219">
        <v>1.5</v>
      </c>
      <c r="H20" s="219"/>
      <c r="I20" s="219"/>
      <c r="J20" s="114"/>
      <c r="K20" s="114"/>
    </row>
    <row r="21" spans="1:11" ht="24" customHeight="1">
      <c r="A21" s="111"/>
      <c r="B21" s="112" t="s">
        <v>403</v>
      </c>
      <c r="C21" s="113"/>
      <c r="D21" s="113">
        <f>90+D28</f>
        <v>890</v>
      </c>
      <c r="E21" s="219">
        <f t="shared" si="2"/>
        <v>99.98081499999999</v>
      </c>
      <c r="F21" s="219">
        <v>33.364661</v>
      </c>
      <c r="G21" s="219">
        <v>66.616154</v>
      </c>
      <c r="H21" s="219"/>
      <c r="I21" s="219"/>
      <c r="J21" s="114"/>
      <c r="K21" s="114"/>
    </row>
    <row r="22" spans="1:11" s="105" customFormat="1" ht="31.5" customHeight="1" hidden="1">
      <c r="A22" s="106">
        <v>2</v>
      </c>
      <c r="B22" s="107" t="s">
        <v>404</v>
      </c>
      <c r="C22" s="108">
        <f aca="true" t="shared" si="3" ref="C22:I22">SUM(C23:C25,C27,C28)</f>
        <v>27000</v>
      </c>
      <c r="D22" s="108">
        <f t="shared" si="3"/>
        <v>27000</v>
      </c>
      <c r="E22" s="218">
        <f t="shared" si="3"/>
        <v>0</v>
      </c>
      <c r="F22" s="218">
        <f t="shared" si="3"/>
        <v>0</v>
      </c>
      <c r="G22" s="218">
        <f t="shared" si="3"/>
        <v>0</v>
      </c>
      <c r="H22" s="218">
        <f t="shared" si="3"/>
        <v>0</v>
      </c>
      <c r="I22" s="218">
        <f t="shared" si="3"/>
        <v>0</v>
      </c>
      <c r="J22" s="109"/>
      <c r="K22" s="109"/>
    </row>
    <row r="23" spans="1:11" ht="24" customHeight="1" hidden="1">
      <c r="A23" s="111"/>
      <c r="B23" s="112" t="s">
        <v>395</v>
      </c>
      <c r="C23" s="113">
        <v>17470</v>
      </c>
      <c r="D23" s="113">
        <v>16670</v>
      </c>
      <c r="E23" s="219">
        <f>SUM(F23:I23)</f>
        <v>0</v>
      </c>
      <c r="F23" s="219"/>
      <c r="G23" s="219"/>
      <c r="H23" s="219"/>
      <c r="I23" s="219"/>
      <c r="J23" s="114"/>
      <c r="K23" s="114"/>
    </row>
    <row r="24" spans="1:11" ht="24" customHeight="1" hidden="1">
      <c r="A24" s="111"/>
      <c r="B24" s="112" t="s">
        <v>397</v>
      </c>
      <c r="C24" s="113">
        <v>5000</v>
      </c>
      <c r="D24" s="113">
        <v>5000</v>
      </c>
      <c r="E24" s="219">
        <f aca="true" t="shared" si="4" ref="E24:E91">SUM(F24:I24)</f>
        <v>0</v>
      </c>
      <c r="F24" s="219"/>
      <c r="G24" s="219"/>
      <c r="H24" s="219"/>
      <c r="I24" s="219"/>
      <c r="J24" s="114"/>
      <c r="K24" s="114"/>
    </row>
    <row r="25" spans="1:11" ht="24" customHeight="1" hidden="1">
      <c r="A25" s="111"/>
      <c r="B25" s="112" t="s">
        <v>398</v>
      </c>
      <c r="C25" s="113">
        <v>30</v>
      </c>
      <c r="D25" s="113">
        <v>30</v>
      </c>
      <c r="E25" s="219">
        <f t="shared" si="4"/>
        <v>0</v>
      </c>
      <c r="F25" s="219"/>
      <c r="G25" s="219"/>
      <c r="H25" s="219"/>
      <c r="I25" s="219"/>
      <c r="J25" s="114"/>
      <c r="K25" s="114"/>
    </row>
    <row r="26" spans="1:11" s="119" customFormat="1" ht="31.5" customHeight="1" hidden="1">
      <c r="A26" s="115"/>
      <c r="B26" s="116" t="s">
        <v>399</v>
      </c>
      <c r="C26" s="117"/>
      <c r="D26" s="117"/>
      <c r="E26" s="220">
        <f t="shared" si="4"/>
        <v>0</v>
      </c>
      <c r="F26" s="220"/>
      <c r="G26" s="220"/>
      <c r="H26" s="220"/>
      <c r="I26" s="220"/>
      <c r="J26" s="118"/>
      <c r="K26" s="118"/>
    </row>
    <row r="27" spans="1:11" ht="24" customHeight="1" hidden="1">
      <c r="A27" s="111"/>
      <c r="B27" s="112" t="s">
        <v>400</v>
      </c>
      <c r="C27" s="113">
        <v>4500</v>
      </c>
      <c r="D27" s="113">
        <v>4500</v>
      </c>
      <c r="E27" s="219">
        <f t="shared" si="4"/>
        <v>0</v>
      </c>
      <c r="F27" s="219"/>
      <c r="G27" s="219"/>
      <c r="H27" s="219"/>
      <c r="I27" s="219"/>
      <c r="J27" s="114"/>
      <c r="K27" s="114"/>
    </row>
    <row r="28" spans="1:11" ht="24" customHeight="1" hidden="1">
      <c r="A28" s="111"/>
      <c r="B28" s="112" t="s">
        <v>403</v>
      </c>
      <c r="C28" s="113"/>
      <c r="D28" s="113">
        <v>800</v>
      </c>
      <c r="E28" s="219">
        <f t="shared" si="4"/>
        <v>0</v>
      </c>
      <c r="F28" s="219"/>
      <c r="G28" s="219"/>
      <c r="H28" s="219"/>
      <c r="I28" s="219"/>
      <c r="J28" s="114"/>
      <c r="K28" s="114"/>
    </row>
    <row r="29" spans="1:11" s="105" customFormat="1" ht="31.5" customHeight="1">
      <c r="A29" s="106">
        <v>2</v>
      </c>
      <c r="B29" s="107" t="s">
        <v>405</v>
      </c>
      <c r="C29" s="108">
        <f>SUM(C30,C32,C34,C35,C37,C39)</f>
        <v>100</v>
      </c>
      <c r="D29" s="108">
        <f>SUM(D30,D32,D34,D35,D37,D39)</f>
        <v>100</v>
      </c>
      <c r="E29" s="218">
        <f>SUM(E30,E32,E34,E35,E37,E39)</f>
        <v>159.508224</v>
      </c>
      <c r="F29" s="218"/>
      <c r="G29" s="218">
        <f>SUM(G30,G32,G34,G35,G37,G39)</f>
        <v>159.508224</v>
      </c>
      <c r="H29" s="218"/>
      <c r="I29" s="218"/>
      <c r="J29" s="109">
        <f>E29/C29</f>
        <v>1.5950822400000002</v>
      </c>
      <c r="K29" s="109">
        <f>E29/D29</f>
        <v>1.5950822400000002</v>
      </c>
    </row>
    <row r="30" spans="1:11" ht="24" customHeight="1">
      <c r="A30" s="111"/>
      <c r="B30" s="112" t="s">
        <v>395</v>
      </c>
      <c r="C30" s="113">
        <v>100</v>
      </c>
      <c r="D30" s="113">
        <v>100</v>
      </c>
      <c r="E30" s="219">
        <f t="shared" si="4"/>
        <v>159.508224</v>
      </c>
      <c r="F30" s="219"/>
      <c r="G30" s="219">
        <v>159.508224</v>
      </c>
      <c r="H30" s="219"/>
      <c r="I30" s="219"/>
      <c r="J30" s="114"/>
      <c r="K30" s="114"/>
    </row>
    <row r="31" spans="1:11" s="119" customFormat="1" ht="31.5" customHeight="1" hidden="1">
      <c r="A31" s="115"/>
      <c r="B31" s="116" t="s">
        <v>406</v>
      </c>
      <c r="C31" s="117"/>
      <c r="D31" s="117"/>
      <c r="E31" s="220">
        <f t="shared" si="4"/>
        <v>0</v>
      </c>
      <c r="F31" s="220"/>
      <c r="G31" s="220"/>
      <c r="H31" s="220"/>
      <c r="I31" s="220"/>
      <c r="J31" s="118"/>
      <c r="K31" s="118"/>
    </row>
    <row r="32" spans="1:11" ht="24" customHeight="1" hidden="1">
      <c r="A32" s="111"/>
      <c r="B32" s="112" t="s">
        <v>397</v>
      </c>
      <c r="C32" s="113"/>
      <c r="D32" s="113"/>
      <c r="E32" s="219">
        <f t="shared" si="4"/>
        <v>0</v>
      </c>
      <c r="F32" s="219"/>
      <c r="G32" s="219"/>
      <c r="H32" s="219"/>
      <c r="I32" s="219"/>
      <c r="J32" s="114"/>
      <c r="K32" s="114"/>
    </row>
    <row r="33" spans="1:11" s="119" customFormat="1" ht="31.5" customHeight="1" hidden="1">
      <c r="A33" s="115"/>
      <c r="B33" s="116" t="s">
        <v>407</v>
      </c>
      <c r="C33" s="117"/>
      <c r="D33" s="117"/>
      <c r="E33" s="220">
        <f t="shared" si="4"/>
        <v>0</v>
      </c>
      <c r="F33" s="220"/>
      <c r="G33" s="220"/>
      <c r="H33" s="220"/>
      <c r="I33" s="220"/>
      <c r="J33" s="118"/>
      <c r="K33" s="118"/>
    </row>
    <row r="34" spans="1:11" ht="24" customHeight="1" hidden="1">
      <c r="A34" s="111"/>
      <c r="B34" s="112" t="s">
        <v>408</v>
      </c>
      <c r="C34" s="113"/>
      <c r="D34" s="113"/>
      <c r="E34" s="219">
        <f t="shared" si="4"/>
        <v>0</v>
      </c>
      <c r="F34" s="219"/>
      <c r="G34" s="219"/>
      <c r="H34" s="219"/>
      <c r="I34" s="219"/>
      <c r="J34" s="114"/>
      <c r="K34" s="114"/>
    </row>
    <row r="35" spans="1:11" ht="24" customHeight="1" hidden="1">
      <c r="A35" s="111"/>
      <c r="B35" s="112" t="s">
        <v>398</v>
      </c>
      <c r="C35" s="113"/>
      <c r="D35" s="113"/>
      <c r="E35" s="219">
        <f t="shared" si="4"/>
        <v>0</v>
      </c>
      <c r="F35" s="219"/>
      <c r="G35" s="219"/>
      <c r="H35" s="219"/>
      <c r="I35" s="219"/>
      <c r="J35" s="114"/>
      <c r="K35" s="114"/>
    </row>
    <row r="36" spans="1:11" s="119" customFormat="1" ht="31.5" customHeight="1" hidden="1">
      <c r="A36" s="115"/>
      <c r="B36" s="116" t="s">
        <v>409</v>
      </c>
      <c r="C36" s="117"/>
      <c r="D36" s="117"/>
      <c r="E36" s="220">
        <f t="shared" si="4"/>
        <v>0</v>
      </c>
      <c r="F36" s="220"/>
      <c r="G36" s="220"/>
      <c r="H36" s="220"/>
      <c r="I36" s="220"/>
      <c r="J36" s="118"/>
      <c r="K36" s="118"/>
    </row>
    <row r="37" spans="1:11" ht="24" customHeight="1" hidden="1">
      <c r="A37" s="111"/>
      <c r="B37" s="112" t="s">
        <v>400</v>
      </c>
      <c r="C37" s="113"/>
      <c r="D37" s="113"/>
      <c r="E37" s="219">
        <f t="shared" si="4"/>
        <v>0</v>
      </c>
      <c r="F37" s="219"/>
      <c r="G37" s="219"/>
      <c r="H37" s="219"/>
      <c r="I37" s="219"/>
      <c r="J37" s="114"/>
      <c r="K37" s="114"/>
    </row>
    <row r="38" spans="1:11" s="119" customFormat="1" ht="24" customHeight="1" hidden="1">
      <c r="A38" s="115"/>
      <c r="B38" s="116" t="s">
        <v>401</v>
      </c>
      <c r="C38" s="117"/>
      <c r="D38" s="117"/>
      <c r="E38" s="220">
        <f t="shared" si="4"/>
        <v>0</v>
      </c>
      <c r="F38" s="220"/>
      <c r="G38" s="220"/>
      <c r="H38" s="220"/>
      <c r="I38" s="220"/>
      <c r="J38" s="118"/>
      <c r="K38" s="118"/>
    </row>
    <row r="39" spans="1:11" ht="24" customHeight="1" hidden="1">
      <c r="A39" s="111"/>
      <c r="B39" s="112" t="s">
        <v>410</v>
      </c>
      <c r="C39" s="113"/>
      <c r="D39" s="113"/>
      <c r="E39" s="219">
        <f t="shared" si="4"/>
        <v>0</v>
      </c>
      <c r="F39" s="219"/>
      <c r="G39" s="219"/>
      <c r="H39" s="219"/>
      <c r="I39" s="219"/>
      <c r="J39" s="114"/>
      <c r="K39" s="114"/>
    </row>
    <row r="40" spans="1:11" s="119" customFormat="1" ht="31.5" customHeight="1" hidden="1">
      <c r="A40" s="115"/>
      <c r="B40" s="116" t="s">
        <v>406</v>
      </c>
      <c r="C40" s="117"/>
      <c r="D40" s="117"/>
      <c r="E40" s="220">
        <f t="shared" si="4"/>
        <v>0</v>
      </c>
      <c r="F40" s="220"/>
      <c r="G40" s="220"/>
      <c r="H40" s="220"/>
      <c r="I40" s="220"/>
      <c r="J40" s="118"/>
      <c r="K40" s="118"/>
    </row>
    <row r="41" spans="1:11" s="105" customFormat="1" ht="24" customHeight="1">
      <c r="A41" s="106">
        <v>3</v>
      </c>
      <c r="B41" s="107" t="s">
        <v>411</v>
      </c>
      <c r="C41" s="108">
        <f>SUM(C42:C44,C46,C48)</f>
        <v>389100</v>
      </c>
      <c r="D41" s="108">
        <f>SUM(D42:D44,D46,D48)</f>
        <v>390600</v>
      </c>
      <c r="E41" s="218">
        <f>SUM(E42:E44,E46,E48,E47)</f>
        <v>336854.47526499996</v>
      </c>
      <c r="F41" s="218">
        <f>SUM(F42:F44,F46,F48,F47)</f>
        <v>195.632126</v>
      </c>
      <c r="G41" s="218">
        <f>SUM(G42:G44,G46,G48,G47)</f>
        <v>111411.979911</v>
      </c>
      <c r="H41" s="218">
        <f>SUM(H42:H44,H46,H48,H47)</f>
        <v>225246.56322800004</v>
      </c>
      <c r="I41" s="218">
        <f>SUM(I42:I44,I46,I48,I47)</f>
        <v>0.3</v>
      </c>
      <c r="J41" s="109">
        <f>E41/C41</f>
        <v>0.8657272558853764</v>
      </c>
      <c r="K41" s="109">
        <f>E41/D41</f>
        <v>0.8624026504480286</v>
      </c>
    </row>
    <row r="42" spans="1:11" ht="24" customHeight="1">
      <c r="A42" s="111"/>
      <c r="B42" s="112" t="s">
        <v>395</v>
      </c>
      <c r="C42" s="113">
        <v>348480</v>
      </c>
      <c r="D42" s="113">
        <v>336438</v>
      </c>
      <c r="E42" s="219">
        <f t="shared" si="4"/>
        <v>265287.247423</v>
      </c>
      <c r="F42" s="219"/>
      <c r="G42" s="219">
        <v>98606.201605</v>
      </c>
      <c r="H42" s="219">
        <v>166681.045818</v>
      </c>
      <c r="I42" s="219"/>
      <c r="J42" s="114"/>
      <c r="K42" s="114"/>
    </row>
    <row r="43" spans="1:11" ht="24" customHeight="1">
      <c r="A43" s="111"/>
      <c r="B43" s="112" t="s">
        <v>397</v>
      </c>
      <c r="C43" s="113">
        <v>11100</v>
      </c>
      <c r="D43" s="113">
        <v>13430</v>
      </c>
      <c r="E43" s="219">
        <f t="shared" si="4"/>
        <v>21690.325709999997</v>
      </c>
      <c r="F43" s="219"/>
      <c r="G43" s="219">
        <v>10698.347213</v>
      </c>
      <c r="H43" s="219">
        <v>10991.978497</v>
      </c>
      <c r="I43" s="219"/>
      <c r="J43" s="114"/>
      <c r="K43" s="114"/>
    </row>
    <row r="44" spans="1:11" ht="24" customHeight="1">
      <c r="A44" s="111"/>
      <c r="B44" s="112" t="s">
        <v>398</v>
      </c>
      <c r="C44" s="113">
        <v>220</v>
      </c>
      <c r="D44" s="113">
        <v>219</v>
      </c>
      <c r="E44" s="219">
        <f t="shared" si="4"/>
        <v>237.833767</v>
      </c>
      <c r="F44" s="219"/>
      <c r="G44" s="219">
        <v>10.613193</v>
      </c>
      <c r="H44" s="219">
        <v>227.220574</v>
      </c>
      <c r="I44" s="219"/>
      <c r="J44" s="114"/>
      <c r="K44" s="114"/>
    </row>
    <row r="45" spans="1:11" s="119" customFormat="1" ht="31.5" customHeight="1" hidden="1">
      <c r="A45" s="115"/>
      <c r="B45" s="116" t="s">
        <v>412</v>
      </c>
      <c r="C45" s="117"/>
      <c r="D45" s="117"/>
      <c r="E45" s="220">
        <f t="shared" si="4"/>
        <v>0</v>
      </c>
      <c r="F45" s="220"/>
      <c r="G45" s="220"/>
      <c r="H45" s="220"/>
      <c r="I45" s="220"/>
      <c r="J45" s="118"/>
      <c r="K45" s="118"/>
    </row>
    <row r="46" spans="1:11" ht="24" customHeight="1">
      <c r="A46" s="111"/>
      <c r="B46" s="112" t="s">
        <v>400</v>
      </c>
      <c r="C46" s="113">
        <v>29300</v>
      </c>
      <c r="D46" s="113">
        <v>30780</v>
      </c>
      <c r="E46" s="219">
        <f t="shared" si="4"/>
        <v>47163.438202</v>
      </c>
      <c r="F46" s="219"/>
      <c r="G46" s="219">
        <v>1406.371121</v>
      </c>
      <c r="H46" s="219">
        <v>45757.067081</v>
      </c>
      <c r="I46" s="219"/>
      <c r="J46" s="114"/>
      <c r="K46" s="114"/>
    </row>
    <row r="47" spans="1:11" ht="24" customHeight="1">
      <c r="A47" s="111"/>
      <c r="B47" s="112" t="s">
        <v>402</v>
      </c>
      <c r="C47" s="113"/>
      <c r="D47" s="113"/>
      <c r="E47" s="219">
        <f t="shared" si="4"/>
        <v>94.3</v>
      </c>
      <c r="F47" s="219"/>
      <c r="G47" s="219">
        <v>5</v>
      </c>
      <c r="H47" s="219">
        <v>89</v>
      </c>
      <c r="I47" s="219">
        <v>0.3</v>
      </c>
      <c r="J47" s="114"/>
      <c r="K47" s="114"/>
    </row>
    <row r="48" spans="1:11" ht="24" customHeight="1">
      <c r="A48" s="111" t="s">
        <v>206</v>
      </c>
      <c r="B48" s="112" t="s">
        <v>207</v>
      </c>
      <c r="C48" s="113"/>
      <c r="D48" s="113">
        <v>9733</v>
      </c>
      <c r="E48" s="219">
        <f t="shared" si="4"/>
        <v>2381.330163</v>
      </c>
      <c r="F48" s="219">
        <v>195.632126</v>
      </c>
      <c r="G48" s="219">
        <v>685.446779</v>
      </c>
      <c r="H48" s="219">
        <v>1500.251258</v>
      </c>
      <c r="I48" s="219"/>
      <c r="J48" s="114"/>
      <c r="K48" s="114"/>
    </row>
    <row r="49" spans="1:11" s="119" customFormat="1" ht="24" customHeight="1">
      <c r="A49" s="115"/>
      <c r="B49" s="116" t="s">
        <v>208</v>
      </c>
      <c r="C49" s="117"/>
      <c r="D49" s="117">
        <v>1500</v>
      </c>
      <c r="E49" s="220"/>
      <c r="F49" s="220"/>
      <c r="G49" s="220"/>
      <c r="H49" s="220"/>
      <c r="I49" s="220"/>
      <c r="J49" s="118"/>
      <c r="K49" s="118"/>
    </row>
    <row r="50" spans="1:11" s="105" customFormat="1" ht="24" customHeight="1">
      <c r="A50" s="106">
        <v>4</v>
      </c>
      <c r="B50" s="107" t="s">
        <v>577</v>
      </c>
      <c r="C50" s="108">
        <v>80000</v>
      </c>
      <c r="D50" s="108">
        <v>80000</v>
      </c>
      <c r="E50" s="218">
        <f t="shared" si="4"/>
        <v>54590.204152</v>
      </c>
      <c r="F50" s="218"/>
      <c r="G50" s="218"/>
      <c r="H50" s="218">
        <v>52386.745482</v>
      </c>
      <c r="I50" s="218">
        <v>2203.45867</v>
      </c>
      <c r="J50" s="109">
        <f>E50/C50</f>
        <v>0.6823775518999999</v>
      </c>
      <c r="K50" s="109">
        <f>E50/D50</f>
        <v>0.6823775518999999</v>
      </c>
    </row>
    <row r="51" spans="1:11" s="105" customFormat="1" ht="24" customHeight="1" hidden="1">
      <c r="A51" s="106">
        <v>5</v>
      </c>
      <c r="B51" s="107" t="s">
        <v>564</v>
      </c>
      <c r="C51" s="108"/>
      <c r="D51" s="108"/>
      <c r="E51" s="218">
        <f t="shared" si="4"/>
        <v>0</v>
      </c>
      <c r="F51" s="218"/>
      <c r="G51" s="218"/>
      <c r="H51" s="218"/>
      <c r="I51" s="218"/>
      <c r="J51" s="109"/>
      <c r="K51" s="109"/>
    </row>
    <row r="52" spans="1:11" s="105" customFormat="1" ht="24" customHeight="1">
      <c r="A52" s="106">
        <v>5</v>
      </c>
      <c r="B52" s="107" t="s">
        <v>565</v>
      </c>
      <c r="C52" s="108">
        <v>1000</v>
      </c>
      <c r="D52" s="108">
        <v>1000</v>
      </c>
      <c r="E52" s="218">
        <f t="shared" si="4"/>
        <v>2371.507433</v>
      </c>
      <c r="F52" s="218"/>
      <c r="G52" s="218"/>
      <c r="H52" s="218">
        <v>0.88</v>
      </c>
      <c r="I52" s="218">
        <v>2370.627433</v>
      </c>
      <c r="J52" s="109">
        <f>E52/C52</f>
        <v>2.371507433</v>
      </c>
      <c r="K52" s="109">
        <f>E52/D52</f>
        <v>2.371507433</v>
      </c>
    </row>
    <row r="53" spans="1:11" s="105" customFormat="1" ht="24" customHeight="1">
      <c r="A53" s="106">
        <v>6</v>
      </c>
      <c r="B53" s="107" t="s">
        <v>546</v>
      </c>
      <c r="C53" s="108">
        <v>43000</v>
      </c>
      <c r="D53" s="108">
        <v>43000</v>
      </c>
      <c r="E53" s="218">
        <f t="shared" si="4"/>
        <v>37369.413817</v>
      </c>
      <c r="F53" s="218">
        <v>6.321679</v>
      </c>
      <c r="G53" s="218">
        <v>11450.143407</v>
      </c>
      <c r="H53" s="218">
        <v>25912.948731</v>
      </c>
      <c r="I53" s="218"/>
      <c r="J53" s="109">
        <f>E53/C53</f>
        <v>0.8690561352790698</v>
      </c>
      <c r="K53" s="109">
        <f>E53/D53</f>
        <v>0.8690561352790698</v>
      </c>
    </row>
    <row r="54" spans="1:11" s="105" customFormat="1" ht="24" customHeight="1">
      <c r="A54" s="106">
        <v>7</v>
      </c>
      <c r="B54" s="107" t="s">
        <v>547</v>
      </c>
      <c r="C54" s="108">
        <v>129000</v>
      </c>
      <c r="D54" s="108">
        <v>129000</v>
      </c>
      <c r="E54" s="218">
        <f t="shared" si="4"/>
        <v>133364.70802999998</v>
      </c>
      <c r="F54" s="218">
        <v>83667.268438</v>
      </c>
      <c r="G54" s="218">
        <v>49560.866017</v>
      </c>
      <c r="H54" s="218">
        <v>136.573575</v>
      </c>
      <c r="I54" s="218"/>
      <c r="J54" s="109">
        <f>E54/C54</f>
        <v>1.0338349459689922</v>
      </c>
      <c r="K54" s="109">
        <f>E54/D54</f>
        <v>1.0338349459689922</v>
      </c>
    </row>
    <row r="55" spans="1:11" s="119" customFormat="1" ht="24" customHeight="1">
      <c r="A55" s="115"/>
      <c r="B55" s="116" t="s">
        <v>209</v>
      </c>
      <c r="C55" s="117">
        <v>81000</v>
      </c>
      <c r="D55" s="117">
        <v>81000</v>
      </c>
      <c r="E55" s="220">
        <f t="shared" si="4"/>
        <v>83667.268438</v>
      </c>
      <c r="F55" s="220">
        <f>F54</f>
        <v>83667.268438</v>
      </c>
      <c r="G55" s="220"/>
      <c r="H55" s="220"/>
      <c r="I55" s="220"/>
      <c r="J55" s="118"/>
      <c r="K55" s="118"/>
    </row>
    <row r="56" spans="1:11" s="119" customFormat="1" ht="24" customHeight="1">
      <c r="A56" s="115"/>
      <c r="B56" s="116" t="s">
        <v>210</v>
      </c>
      <c r="C56" s="117">
        <v>48000</v>
      </c>
      <c r="D56" s="117">
        <v>48000</v>
      </c>
      <c r="E56" s="220">
        <f t="shared" si="4"/>
        <v>49697.439592</v>
      </c>
      <c r="F56" s="220"/>
      <c r="G56" s="220">
        <f>G54</f>
        <v>49560.866017</v>
      </c>
      <c r="H56" s="220">
        <f>H54</f>
        <v>136.573575</v>
      </c>
      <c r="I56" s="220"/>
      <c r="J56" s="118"/>
      <c r="K56" s="118"/>
    </row>
    <row r="57" spans="1:11" s="105" customFormat="1" ht="24" customHeight="1">
      <c r="A57" s="106">
        <v>8</v>
      </c>
      <c r="B57" s="107" t="s">
        <v>211</v>
      </c>
      <c r="C57" s="108">
        <v>25000</v>
      </c>
      <c r="D57" s="108">
        <v>25000</v>
      </c>
      <c r="E57" s="218">
        <f t="shared" si="4"/>
        <v>33885.305347</v>
      </c>
      <c r="F57" s="218">
        <v>5657.604658</v>
      </c>
      <c r="G57" s="218">
        <f>6944.81184</f>
        <v>6944.81184</v>
      </c>
      <c r="H57" s="218">
        <f>14893.268509</f>
        <v>14893.268509</v>
      </c>
      <c r="I57" s="218">
        <f>6389.62034</f>
        <v>6389.62034</v>
      </c>
      <c r="J57" s="109">
        <f>E57/C57</f>
        <v>1.35541221388</v>
      </c>
      <c r="K57" s="109">
        <f>E57/D57</f>
        <v>1.35541221388</v>
      </c>
    </row>
    <row r="58" spans="1:11" s="119" customFormat="1" ht="31.5" customHeight="1">
      <c r="A58" s="115"/>
      <c r="B58" s="116" t="s">
        <v>212</v>
      </c>
      <c r="C58" s="117"/>
      <c r="D58" s="117"/>
      <c r="E58" s="220">
        <f t="shared" si="4"/>
        <v>5657.604658</v>
      </c>
      <c r="F58" s="220">
        <f>F57</f>
        <v>5657.604658</v>
      </c>
      <c r="G58" s="220"/>
      <c r="H58" s="220"/>
      <c r="I58" s="220"/>
      <c r="J58" s="118"/>
      <c r="K58" s="118"/>
    </row>
    <row r="59" spans="1:11" s="119" customFormat="1" ht="31.5" customHeight="1">
      <c r="A59" s="115"/>
      <c r="B59" s="116" t="s">
        <v>213</v>
      </c>
      <c r="C59" s="117">
        <v>25000</v>
      </c>
      <c r="D59" s="117"/>
      <c r="E59" s="220">
        <f t="shared" si="4"/>
        <v>28227.700689</v>
      </c>
      <c r="F59" s="220"/>
      <c r="G59" s="220">
        <f>G57</f>
        <v>6944.81184</v>
      </c>
      <c r="H59" s="220">
        <f>H57</f>
        <v>14893.268509</v>
      </c>
      <c r="I59" s="220">
        <f>I57</f>
        <v>6389.62034</v>
      </c>
      <c r="J59" s="118"/>
      <c r="K59" s="118"/>
    </row>
    <row r="60" spans="1:11" s="119" customFormat="1" ht="31.5" customHeight="1">
      <c r="A60" s="115"/>
      <c r="B60" s="116" t="s">
        <v>214</v>
      </c>
      <c r="C60" s="117">
        <v>5500</v>
      </c>
      <c r="D60" s="117">
        <v>5500</v>
      </c>
      <c r="E60" s="220">
        <f t="shared" si="4"/>
        <v>4877.116639</v>
      </c>
      <c r="F60" s="220"/>
      <c r="G60" s="220">
        <v>4877.116639</v>
      </c>
      <c r="H60" s="220"/>
      <c r="I60" s="220"/>
      <c r="J60" s="118"/>
      <c r="K60" s="118"/>
    </row>
    <row r="61" spans="1:11" s="105" customFormat="1" ht="24" customHeight="1">
      <c r="A61" s="106">
        <v>9</v>
      </c>
      <c r="B61" s="107" t="s">
        <v>215</v>
      </c>
      <c r="C61" s="108">
        <v>60000</v>
      </c>
      <c r="D61" s="108">
        <v>60000</v>
      </c>
      <c r="E61" s="218">
        <f t="shared" si="4"/>
        <v>123242.338632</v>
      </c>
      <c r="F61" s="218"/>
      <c r="G61" s="218">
        <v>55763.661128</v>
      </c>
      <c r="H61" s="218">
        <v>33914.29998</v>
      </c>
      <c r="I61" s="218">
        <v>33564.377524</v>
      </c>
      <c r="J61" s="109">
        <f>E61/C61</f>
        <v>2.0540389772</v>
      </c>
      <c r="K61" s="109">
        <f>E61/D61</f>
        <v>2.0540389772</v>
      </c>
    </row>
    <row r="62" spans="1:11" s="119" customFormat="1" ht="31.5" customHeight="1">
      <c r="A62" s="115"/>
      <c r="B62" s="116" t="s">
        <v>216</v>
      </c>
      <c r="C62" s="117"/>
      <c r="D62" s="117"/>
      <c r="E62" s="220"/>
      <c r="F62" s="220"/>
      <c r="G62" s="220"/>
      <c r="H62" s="220"/>
      <c r="I62" s="220"/>
      <c r="J62" s="118"/>
      <c r="K62" s="118"/>
    </row>
    <row r="63" spans="1:11" s="119" customFormat="1" ht="31.5" customHeight="1">
      <c r="A63" s="115"/>
      <c r="B63" s="116" t="s">
        <v>217</v>
      </c>
      <c r="C63" s="117">
        <v>60000</v>
      </c>
      <c r="D63" s="117">
        <v>60000</v>
      </c>
      <c r="E63" s="220">
        <f t="shared" si="4"/>
        <v>123242.338632</v>
      </c>
      <c r="F63" s="220"/>
      <c r="G63" s="220">
        <f>G61</f>
        <v>55763.661128</v>
      </c>
      <c r="H63" s="220">
        <f>H61</f>
        <v>33914.29998</v>
      </c>
      <c r="I63" s="220">
        <f>I61</f>
        <v>33564.377524</v>
      </c>
      <c r="J63" s="118"/>
      <c r="K63" s="118"/>
    </row>
    <row r="64" spans="1:11" s="105" customFormat="1" ht="24" customHeight="1">
      <c r="A64" s="106">
        <v>10</v>
      </c>
      <c r="B64" s="107" t="s">
        <v>218</v>
      </c>
      <c r="C64" s="108">
        <v>22000</v>
      </c>
      <c r="D64" s="108">
        <v>22000</v>
      </c>
      <c r="E64" s="218">
        <f t="shared" si="4"/>
        <v>27229.219323999998</v>
      </c>
      <c r="F64" s="218"/>
      <c r="G64" s="218">
        <v>24652.284224</v>
      </c>
      <c r="H64" s="218">
        <v>2576.3351</v>
      </c>
      <c r="I64" s="218">
        <v>0.6</v>
      </c>
      <c r="J64" s="109">
        <f>E64/C64</f>
        <v>1.2376917874545454</v>
      </c>
      <c r="K64" s="109">
        <f>E64/D64</f>
        <v>1.2376917874545454</v>
      </c>
    </row>
    <row r="65" spans="1:11" s="105" customFormat="1" ht="24" customHeight="1" hidden="1">
      <c r="A65" s="106">
        <v>13</v>
      </c>
      <c r="B65" s="107" t="s">
        <v>219</v>
      </c>
      <c r="C65" s="108"/>
      <c r="D65" s="108"/>
      <c r="E65" s="218">
        <f t="shared" si="4"/>
        <v>0</v>
      </c>
      <c r="F65" s="218"/>
      <c r="G65" s="218"/>
      <c r="H65" s="218"/>
      <c r="I65" s="218"/>
      <c r="J65" s="109"/>
      <c r="K65" s="109"/>
    </row>
    <row r="66" spans="1:11" s="119" customFormat="1" ht="31.5" customHeight="1" hidden="1">
      <c r="A66" s="116"/>
      <c r="B66" s="116" t="s">
        <v>220</v>
      </c>
      <c r="C66" s="117"/>
      <c r="D66" s="117"/>
      <c r="E66" s="220">
        <f t="shared" si="4"/>
        <v>0</v>
      </c>
      <c r="F66" s="220"/>
      <c r="G66" s="220"/>
      <c r="H66" s="220"/>
      <c r="I66" s="220"/>
      <c r="J66" s="118"/>
      <c r="K66" s="118"/>
    </row>
    <row r="67" spans="1:11" s="119" customFormat="1" ht="24" customHeight="1" hidden="1">
      <c r="A67" s="116"/>
      <c r="B67" s="116" t="s">
        <v>221</v>
      </c>
      <c r="C67" s="117"/>
      <c r="D67" s="117"/>
      <c r="E67" s="220">
        <f t="shared" si="4"/>
        <v>0</v>
      </c>
      <c r="F67" s="220"/>
      <c r="G67" s="220"/>
      <c r="H67" s="220"/>
      <c r="I67" s="220"/>
      <c r="J67" s="118"/>
      <c r="K67" s="118"/>
    </row>
    <row r="68" spans="1:11" s="105" customFormat="1" ht="24" customHeight="1" hidden="1">
      <c r="A68" s="106">
        <v>14</v>
      </c>
      <c r="B68" s="107" t="s">
        <v>222</v>
      </c>
      <c r="C68" s="108"/>
      <c r="D68" s="108"/>
      <c r="E68" s="218">
        <f t="shared" si="4"/>
        <v>0</v>
      </c>
      <c r="F68" s="218"/>
      <c r="G68" s="218"/>
      <c r="H68" s="218"/>
      <c r="I68" s="218"/>
      <c r="J68" s="109"/>
      <c r="K68" s="109"/>
    </row>
    <row r="69" spans="1:11" s="119" customFormat="1" ht="24" customHeight="1" hidden="1">
      <c r="A69" s="115"/>
      <c r="B69" s="116" t="s">
        <v>223</v>
      </c>
      <c r="C69" s="117"/>
      <c r="D69" s="117"/>
      <c r="E69" s="220">
        <f t="shared" si="4"/>
        <v>0</v>
      </c>
      <c r="F69" s="220"/>
      <c r="G69" s="220"/>
      <c r="H69" s="220"/>
      <c r="I69" s="220"/>
      <c r="J69" s="118"/>
      <c r="K69" s="118"/>
    </row>
    <row r="70" spans="1:11" s="119" customFormat="1" ht="24" customHeight="1" hidden="1">
      <c r="A70" s="116"/>
      <c r="B70" s="116" t="s">
        <v>224</v>
      </c>
      <c r="C70" s="117"/>
      <c r="D70" s="117"/>
      <c r="E70" s="220">
        <f t="shared" si="4"/>
        <v>0</v>
      </c>
      <c r="F70" s="220"/>
      <c r="G70" s="220"/>
      <c r="H70" s="220"/>
      <c r="I70" s="220"/>
      <c r="J70" s="118"/>
      <c r="K70" s="118"/>
    </row>
    <row r="71" spans="1:11" s="105" customFormat="1" ht="31.5" customHeight="1" hidden="1">
      <c r="A71" s="106">
        <v>15</v>
      </c>
      <c r="B71" s="107" t="s">
        <v>225</v>
      </c>
      <c r="C71" s="108"/>
      <c r="D71" s="108"/>
      <c r="E71" s="218">
        <f t="shared" si="4"/>
        <v>0</v>
      </c>
      <c r="F71" s="218"/>
      <c r="G71" s="218"/>
      <c r="H71" s="218"/>
      <c r="I71" s="218"/>
      <c r="J71" s="109"/>
      <c r="K71" s="109"/>
    </row>
    <row r="72" spans="1:11" s="119" customFormat="1" ht="24" customHeight="1" hidden="1">
      <c r="A72" s="116"/>
      <c r="B72" s="116" t="s">
        <v>226</v>
      </c>
      <c r="C72" s="117"/>
      <c r="D72" s="117"/>
      <c r="E72" s="220">
        <f t="shared" si="4"/>
        <v>0</v>
      </c>
      <c r="F72" s="220"/>
      <c r="G72" s="220"/>
      <c r="H72" s="220"/>
      <c r="I72" s="220"/>
      <c r="J72" s="118"/>
      <c r="K72" s="118"/>
    </row>
    <row r="73" spans="1:11" s="119" customFormat="1" ht="24" customHeight="1" hidden="1">
      <c r="A73" s="116"/>
      <c r="B73" s="116" t="s">
        <v>227</v>
      </c>
      <c r="C73" s="117"/>
      <c r="D73" s="117"/>
      <c r="E73" s="220">
        <f t="shared" si="4"/>
        <v>0</v>
      </c>
      <c r="F73" s="220"/>
      <c r="G73" s="220"/>
      <c r="H73" s="220"/>
      <c r="I73" s="220"/>
      <c r="J73" s="118"/>
      <c r="K73" s="118"/>
    </row>
    <row r="74" spans="1:11" s="105" customFormat="1" ht="31.5" customHeight="1">
      <c r="A74" s="106">
        <v>11</v>
      </c>
      <c r="B74" s="107" t="s">
        <v>228</v>
      </c>
      <c r="C74" s="108">
        <v>500</v>
      </c>
      <c r="D74" s="108">
        <v>500</v>
      </c>
      <c r="E74" s="218">
        <f t="shared" si="4"/>
        <v>783.3</v>
      </c>
      <c r="F74" s="218"/>
      <c r="G74" s="218"/>
      <c r="H74" s="218">
        <v>250.5</v>
      </c>
      <c r="I74" s="218">
        <v>532.8</v>
      </c>
      <c r="J74" s="109">
        <f>E74/C74</f>
        <v>1.5666</v>
      </c>
      <c r="K74" s="109">
        <f>E74/D74</f>
        <v>1.5666</v>
      </c>
    </row>
    <row r="75" spans="1:11" s="105" customFormat="1" ht="24" customHeight="1">
      <c r="A75" s="106">
        <v>12</v>
      </c>
      <c r="B75" s="107" t="s">
        <v>567</v>
      </c>
      <c r="C75" s="108">
        <v>13500</v>
      </c>
      <c r="D75" s="108">
        <v>12000</v>
      </c>
      <c r="E75" s="218">
        <f t="shared" si="4"/>
        <v>42002.862809</v>
      </c>
      <c r="F75" s="218">
        <f>15379.976041</f>
        <v>15379.976041</v>
      </c>
      <c r="G75" s="218">
        <v>13796.604701</v>
      </c>
      <c r="H75" s="218">
        <v>10488.791455</v>
      </c>
      <c r="I75" s="218">
        <f>4.7672+6128.754238-I80</f>
        <v>2337.4906120000005</v>
      </c>
      <c r="J75" s="109">
        <f>E75/C75</f>
        <v>3.111323171037037</v>
      </c>
      <c r="K75" s="109">
        <f>E75/D75</f>
        <v>3.5002385674166665</v>
      </c>
    </row>
    <row r="76" spans="1:11" s="119" customFormat="1" ht="31.5" customHeight="1">
      <c r="A76" s="116"/>
      <c r="B76" s="116" t="s">
        <v>229</v>
      </c>
      <c r="C76" s="117">
        <v>8500</v>
      </c>
      <c r="D76" s="117">
        <v>7000</v>
      </c>
      <c r="E76" s="220">
        <f t="shared" si="4"/>
        <v>15379.976041</v>
      </c>
      <c r="F76" s="220">
        <v>15379.976041</v>
      </c>
      <c r="G76" s="220"/>
      <c r="H76" s="220"/>
      <c r="I76" s="220"/>
      <c r="J76" s="118"/>
      <c r="K76" s="118"/>
    </row>
    <row r="77" spans="1:11" s="105" customFormat="1" ht="24" customHeight="1">
      <c r="A77" s="106">
        <v>13</v>
      </c>
      <c r="B77" s="107" t="s">
        <v>566</v>
      </c>
      <c r="C77" s="108">
        <v>10000</v>
      </c>
      <c r="D77" s="108">
        <v>10000</v>
      </c>
      <c r="E77" s="218">
        <f t="shared" si="4"/>
        <v>6989.2988000000005</v>
      </c>
      <c r="F77" s="218"/>
      <c r="G77" s="218">
        <v>3332.4119</v>
      </c>
      <c r="H77" s="218">
        <v>3656.8869</v>
      </c>
      <c r="I77" s="218"/>
      <c r="J77" s="109">
        <f>E77/C77</f>
        <v>0.69892988</v>
      </c>
      <c r="K77" s="109">
        <f>E77/D77</f>
        <v>0.69892988</v>
      </c>
    </row>
    <row r="78" spans="1:11" s="119" customFormat="1" ht="24" customHeight="1">
      <c r="A78" s="116"/>
      <c r="B78" s="116" t="s">
        <v>230</v>
      </c>
      <c r="C78" s="117"/>
      <c r="D78" s="117"/>
      <c r="E78" s="220"/>
      <c r="F78" s="220"/>
      <c r="G78" s="220"/>
      <c r="H78" s="220"/>
      <c r="I78" s="220"/>
      <c r="J78" s="118"/>
      <c r="K78" s="118"/>
    </row>
    <row r="79" spans="1:11" s="119" customFormat="1" ht="31.5" customHeight="1">
      <c r="A79" s="115"/>
      <c r="B79" s="116" t="s">
        <v>231</v>
      </c>
      <c r="C79" s="117">
        <v>10000</v>
      </c>
      <c r="D79" s="117"/>
      <c r="E79" s="220">
        <f t="shared" si="4"/>
        <v>6989.2988000000005</v>
      </c>
      <c r="F79" s="220"/>
      <c r="G79" s="220">
        <f>G77</f>
        <v>3332.4119</v>
      </c>
      <c r="H79" s="220">
        <f>H77</f>
        <v>3656.8869</v>
      </c>
      <c r="I79" s="220"/>
      <c r="J79" s="118"/>
      <c r="K79" s="118"/>
    </row>
    <row r="80" spans="1:11" s="105" customFormat="1" ht="31.5" customHeight="1">
      <c r="A80" s="106">
        <v>14</v>
      </c>
      <c r="B80" s="107" t="s">
        <v>232</v>
      </c>
      <c r="C80" s="108">
        <v>3800</v>
      </c>
      <c r="D80" s="108">
        <v>3800</v>
      </c>
      <c r="E80" s="218">
        <f t="shared" si="4"/>
        <v>3796.030826</v>
      </c>
      <c r="F80" s="218"/>
      <c r="G80" s="218"/>
      <c r="H80" s="218"/>
      <c r="I80" s="218">
        <v>3796.030826</v>
      </c>
      <c r="J80" s="109">
        <f>E80/C80</f>
        <v>0.9989554805263159</v>
      </c>
      <c r="K80" s="109">
        <f>E80/D80</f>
        <v>0.9989554805263159</v>
      </c>
    </row>
    <row r="81" spans="1:11" s="105" customFormat="1" ht="24" customHeight="1" hidden="1">
      <c r="A81" s="106">
        <v>16</v>
      </c>
      <c r="B81" s="107" t="s">
        <v>358</v>
      </c>
      <c r="C81" s="108"/>
      <c r="D81" s="108"/>
      <c r="E81" s="218">
        <f t="shared" si="4"/>
        <v>0</v>
      </c>
      <c r="F81" s="218"/>
      <c r="G81" s="218"/>
      <c r="H81" s="218"/>
      <c r="I81" s="218"/>
      <c r="J81" s="109"/>
      <c r="K81" s="109"/>
    </row>
    <row r="82" spans="1:11" s="105" customFormat="1" ht="31.5" customHeight="1">
      <c r="A82" s="106">
        <v>15</v>
      </c>
      <c r="B82" s="107" t="s">
        <v>359</v>
      </c>
      <c r="C82" s="108">
        <v>17000</v>
      </c>
      <c r="D82" s="108">
        <v>17000</v>
      </c>
      <c r="E82" s="218">
        <f t="shared" si="4"/>
        <v>23352.846653</v>
      </c>
      <c r="F82" s="218"/>
      <c r="G82" s="218">
        <v>23352.846653</v>
      </c>
      <c r="H82" s="218"/>
      <c r="I82" s="218"/>
      <c r="J82" s="109">
        <f>E82/C82</f>
        <v>1.3736968619411765</v>
      </c>
      <c r="K82" s="109">
        <f>E82/D82</f>
        <v>1.3736968619411765</v>
      </c>
    </row>
    <row r="83" spans="1:11" s="105" customFormat="1" ht="24" customHeight="1" hidden="1">
      <c r="A83" s="106" t="s">
        <v>50</v>
      </c>
      <c r="B83" s="107" t="s">
        <v>360</v>
      </c>
      <c r="C83" s="108"/>
      <c r="D83" s="108"/>
      <c r="E83" s="218">
        <f t="shared" si="4"/>
        <v>0</v>
      </c>
      <c r="F83" s="218"/>
      <c r="G83" s="218"/>
      <c r="H83" s="218"/>
      <c r="I83" s="218"/>
      <c r="J83" s="109"/>
      <c r="K83" s="109"/>
    </row>
    <row r="84" spans="1:11" s="105" customFormat="1" ht="24" customHeight="1" hidden="1">
      <c r="A84" s="106">
        <v>1</v>
      </c>
      <c r="B84" s="107" t="s">
        <v>271</v>
      </c>
      <c r="C84" s="108"/>
      <c r="D84" s="108"/>
      <c r="E84" s="218">
        <f t="shared" si="4"/>
        <v>0</v>
      </c>
      <c r="F84" s="218"/>
      <c r="G84" s="218"/>
      <c r="H84" s="218"/>
      <c r="I84" s="218"/>
      <c r="J84" s="109"/>
      <c r="K84" s="109"/>
    </row>
    <row r="85" spans="1:11" s="105" customFormat="1" ht="24" customHeight="1" hidden="1">
      <c r="A85" s="106" t="s">
        <v>582</v>
      </c>
      <c r="B85" s="107" t="s">
        <v>272</v>
      </c>
      <c r="C85" s="108"/>
      <c r="D85" s="108"/>
      <c r="E85" s="218">
        <f t="shared" si="4"/>
        <v>0</v>
      </c>
      <c r="F85" s="218"/>
      <c r="G85" s="218"/>
      <c r="H85" s="218"/>
      <c r="I85" s="218"/>
      <c r="J85" s="109"/>
      <c r="K85" s="109"/>
    </row>
    <row r="86" spans="1:11" s="105" customFormat="1" ht="24" customHeight="1" hidden="1">
      <c r="A86" s="106" t="s">
        <v>584</v>
      </c>
      <c r="B86" s="107" t="s">
        <v>325</v>
      </c>
      <c r="C86" s="108"/>
      <c r="D86" s="108"/>
      <c r="E86" s="218">
        <f t="shared" si="4"/>
        <v>0</v>
      </c>
      <c r="F86" s="218"/>
      <c r="G86" s="218"/>
      <c r="H86" s="218"/>
      <c r="I86" s="218"/>
      <c r="J86" s="109"/>
      <c r="K86" s="109"/>
    </row>
    <row r="87" spans="1:11" s="105" customFormat="1" ht="31.5" customHeight="1" hidden="1">
      <c r="A87" s="106" t="s">
        <v>586</v>
      </c>
      <c r="B87" s="107" t="s">
        <v>273</v>
      </c>
      <c r="C87" s="108"/>
      <c r="D87" s="108"/>
      <c r="E87" s="218">
        <f t="shared" si="4"/>
        <v>0</v>
      </c>
      <c r="F87" s="218"/>
      <c r="G87" s="218"/>
      <c r="H87" s="218"/>
      <c r="I87" s="218"/>
      <c r="J87" s="109"/>
      <c r="K87" s="109"/>
    </row>
    <row r="88" spans="1:11" s="105" customFormat="1" ht="31.5" customHeight="1" hidden="1">
      <c r="A88" s="106" t="s">
        <v>596</v>
      </c>
      <c r="B88" s="107" t="s">
        <v>274</v>
      </c>
      <c r="C88" s="108"/>
      <c r="D88" s="108"/>
      <c r="E88" s="218">
        <f t="shared" si="4"/>
        <v>0</v>
      </c>
      <c r="F88" s="218"/>
      <c r="G88" s="218"/>
      <c r="H88" s="218"/>
      <c r="I88" s="218"/>
      <c r="J88" s="109"/>
      <c r="K88" s="109"/>
    </row>
    <row r="89" spans="1:11" s="105" customFormat="1" ht="24" customHeight="1" hidden="1">
      <c r="A89" s="106" t="s">
        <v>598</v>
      </c>
      <c r="B89" s="107" t="s">
        <v>275</v>
      </c>
      <c r="C89" s="108"/>
      <c r="D89" s="108"/>
      <c r="E89" s="218">
        <f t="shared" si="4"/>
        <v>0</v>
      </c>
      <c r="F89" s="218"/>
      <c r="G89" s="218"/>
      <c r="H89" s="218"/>
      <c r="I89" s="218"/>
      <c r="J89" s="109"/>
      <c r="K89" s="109"/>
    </row>
    <row r="90" spans="1:11" s="105" customFormat="1" ht="24" customHeight="1" hidden="1">
      <c r="A90" s="106" t="s">
        <v>139</v>
      </c>
      <c r="B90" s="107" t="s">
        <v>569</v>
      </c>
      <c r="C90" s="108"/>
      <c r="D90" s="108"/>
      <c r="E90" s="218">
        <f t="shared" si="4"/>
        <v>0</v>
      </c>
      <c r="F90" s="218"/>
      <c r="G90" s="218"/>
      <c r="H90" s="218"/>
      <c r="I90" s="218"/>
      <c r="J90" s="109"/>
      <c r="K90" s="109"/>
    </row>
    <row r="91" spans="1:11" s="105" customFormat="1" ht="31.5" customHeight="1" hidden="1">
      <c r="A91" s="106">
        <v>2</v>
      </c>
      <c r="B91" s="107" t="s">
        <v>276</v>
      </c>
      <c r="C91" s="108"/>
      <c r="D91" s="108"/>
      <c r="E91" s="218">
        <f t="shared" si="4"/>
        <v>0</v>
      </c>
      <c r="F91" s="218"/>
      <c r="G91" s="218"/>
      <c r="H91" s="218"/>
      <c r="I91" s="218"/>
      <c r="J91" s="109"/>
      <c r="K91" s="109"/>
    </row>
    <row r="92" spans="1:11" s="105" customFormat="1" ht="24" customHeight="1" hidden="1">
      <c r="A92" s="106">
        <v>3</v>
      </c>
      <c r="B92" s="107" t="s">
        <v>277</v>
      </c>
      <c r="C92" s="108"/>
      <c r="D92" s="108"/>
      <c r="E92" s="218">
        <f aca="true" t="shared" si="5" ref="E92:E113">SUM(F92:I92)</f>
        <v>0</v>
      </c>
      <c r="F92" s="218"/>
      <c r="G92" s="218"/>
      <c r="H92" s="218"/>
      <c r="I92" s="218"/>
      <c r="J92" s="109"/>
      <c r="K92" s="109"/>
    </row>
    <row r="93" spans="1:11" s="105" customFormat="1" ht="31.5" customHeight="1" hidden="1">
      <c r="A93" s="106">
        <v>4</v>
      </c>
      <c r="B93" s="107" t="s">
        <v>278</v>
      </c>
      <c r="C93" s="108"/>
      <c r="D93" s="108"/>
      <c r="E93" s="218">
        <f t="shared" si="5"/>
        <v>0</v>
      </c>
      <c r="F93" s="218"/>
      <c r="G93" s="218"/>
      <c r="H93" s="218"/>
      <c r="I93" s="218"/>
      <c r="J93" s="109"/>
      <c r="K93" s="109"/>
    </row>
    <row r="94" spans="1:11" s="105" customFormat="1" ht="24" customHeight="1">
      <c r="A94" s="106" t="s">
        <v>50</v>
      </c>
      <c r="B94" s="107" t="s">
        <v>279</v>
      </c>
      <c r="C94" s="108">
        <f>SUM(C95:C103)</f>
        <v>15500</v>
      </c>
      <c r="D94" s="108">
        <f>SUM(D95:D103)</f>
        <v>15500</v>
      </c>
      <c r="E94" s="218">
        <f>SUM(E95:E103)</f>
        <v>16070.300778</v>
      </c>
      <c r="F94" s="218">
        <f>SUM(F95:F103)</f>
        <v>16070.300778</v>
      </c>
      <c r="G94" s="218"/>
      <c r="H94" s="218"/>
      <c r="I94" s="218"/>
      <c r="J94" s="109">
        <f>E94/C94</f>
        <v>1.0367935985806451</v>
      </c>
      <c r="K94" s="109">
        <f>E94/D94</f>
        <v>1.0367935985806451</v>
      </c>
    </row>
    <row r="95" spans="1:11" ht="24" customHeight="1" hidden="1">
      <c r="A95" s="111">
        <v>1</v>
      </c>
      <c r="B95" s="112" t="s">
        <v>288</v>
      </c>
      <c r="C95" s="113"/>
      <c r="D95" s="113"/>
      <c r="E95" s="219">
        <f t="shared" si="5"/>
        <v>0</v>
      </c>
      <c r="F95" s="219"/>
      <c r="G95" s="219"/>
      <c r="H95" s="219"/>
      <c r="I95" s="219"/>
      <c r="J95" s="114"/>
      <c r="K95" s="114"/>
    </row>
    <row r="96" spans="1:11" ht="24" customHeight="1">
      <c r="A96" s="111">
        <v>1</v>
      </c>
      <c r="B96" s="112" t="s">
        <v>568</v>
      </c>
      <c r="C96" s="113">
        <v>500</v>
      </c>
      <c r="D96" s="113">
        <v>500</v>
      </c>
      <c r="E96" s="219">
        <f t="shared" si="5"/>
        <v>1574.620421</v>
      </c>
      <c r="F96" s="219">
        <v>1574.620421</v>
      </c>
      <c r="G96" s="219"/>
      <c r="H96" s="219"/>
      <c r="I96" s="219"/>
      <c r="J96" s="114"/>
      <c r="K96" s="114"/>
    </row>
    <row r="97" spans="1:11" ht="24" customHeight="1">
      <c r="A97" s="111">
        <v>2</v>
      </c>
      <c r="B97" s="112" t="s">
        <v>280</v>
      </c>
      <c r="C97" s="113"/>
      <c r="D97" s="113"/>
      <c r="E97" s="219">
        <f t="shared" si="5"/>
        <v>9.062</v>
      </c>
      <c r="F97" s="219">
        <v>9.062</v>
      </c>
      <c r="G97" s="219"/>
      <c r="H97" s="219"/>
      <c r="I97" s="219"/>
      <c r="J97" s="114"/>
      <c r="K97" s="114"/>
    </row>
    <row r="98" spans="1:11" ht="24" customHeight="1">
      <c r="A98" s="111">
        <v>3</v>
      </c>
      <c r="B98" s="112" t="s">
        <v>281</v>
      </c>
      <c r="C98" s="113">
        <v>15000</v>
      </c>
      <c r="D98" s="113">
        <v>15000</v>
      </c>
      <c r="E98" s="219">
        <f t="shared" si="5"/>
        <v>14357.785535</v>
      </c>
      <c r="F98" s="219">
        <v>14357.785535</v>
      </c>
      <c r="G98" s="219"/>
      <c r="H98" s="219"/>
      <c r="I98" s="219"/>
      <c r="J98" s="114"/>
      <c r="K98" s="114"/>
    </row>
    <row r="99" spans="1:11" ht="31.5" customHeight="1" hidden="1">
      <c r="A99" s="111">
        <v>5</v>
      </c>
      <c r="B99" s="112" t="s">
        <v>282</v>
      </c>
      <c r="C99" s="113"/>
      <c r="D99" s="113"/>
      <c r="E99" s="219">
        <f t="shared" si="5"/>
        <v>0</v>
      </c>
      <c r="F99" s="219"/>
      <c r="G99" s="219"/>
      <c r="H99" s="219"/>
      <c r="I99" s="219"/>
      <c r="J99" s="114"/>
      <c r="K99" s="114"/>
    </row>
    <row r="100" spans="1:11" ht="24" customHeight="1" hidden="1">
      <c r="A100" s="111">
        <v>6</v>
      </c>
      <c r="B100" s="112" t="s">
        <v>283</v>
      </c>
      <c r="C100" s="113"/>
      <c r="D100" s="113"/>
      <c r="E100" s="219">
        <f t="shared" si="5"/>
        <v>0</v>
      </c>
      <c r="F100" s="219"/>
      <c r="G100" s="219"/>
      <c r="H100" s="219"/>
      <c r="I100" s="219"/>
      <c r="J100" s="114"/>
      <c r="K100" s="114"/>
    </row>
    <row r="101" spans="1:11" ht="31.5" customHeight="1" hidden="1">
      <c r="A101" s="111">
        <v>7</v>
      </c>
      <c r="B101" s="112" t="s">
        <v>284</v>
      </c>
      <c r="C101" s="113"/>
      <c r="D101" s="113"/>
      <c r="E101" s="219">
        <f t="shared" si="5"/>
        <v>0</v>
      </c>
      <c r="F101" s="219"/>
      <c r="G101" s="219"/>
      <c r="H101" s="219"/>
      <c r="I101" s="219"/>
      <c r="J101" s="114"/>
      <c r="K101" s="114"/>
    </row>
    <row r="102" spans="1:11" ht="24" customHeight="1">
      <c r="A102" s="111">
        <v>4</v>
      </c>
      <c r="B102" s="112" t="s">
        <v>285</v>
      </c>
      <c r="C102" s="113"/>
      <c r="D102" s="113"/>
      <c r="E102" s="219">
        <f t="shared" si="5"/>
        <v>0.1</v>
      </c>
      <c r="F102" s="219">
        <v>0.1</v>
      </c>
      <c r="G102" s="219"/>
      <c r="H102" s="219"/>
      <c r="I102" s="219"/>
      <c r="J102" s="114"/>
      <c r="K102" s="114"/>
    </row>
    <row r="103" spans="1:11" ht="24" customHeight="1">
      <c r="A103" s="111">
        <v>5</v>
      </c>
      <c r="B103" s="112" t="s">
        <v>569</v>
      </c>
      <c r="C103" s="113"/>
      <c r="D103" s="113"/>
      <c r="E103" s="219">
        <f t="shared" si="5"/>
        <v>128.732822</v>
      </c>
      <c r="F103" s="219">
        <v>128.732822</v>
      </c>
      <c r="G103" s="219"/>
      <c r="H103" s="219"/>
      <c r="I103" s="219"/>
      <c r="J103" s="114"/>
      <c r="K103" s="114"/>
    </row>
    <row r="104" spans="1:11" s="105" customFormat="1" ht="24" customHeight="1">
      <c r="A104" s="106" t="s">
        <v>51</v>
      </c>
      <c r="B104" s="107" t="s">
        <v>286</v>
      </c>
      <c r="C104" s="108"/>
      <c r="D104" s="108"/>
      <c r="E104" s="218">
        <f t="shared" si="5"/>
        <v>19372.441975</v>
      </c>
      <c r="F104" s="218"/>
      <c r="G104" s="218">
        <v>11782.601049</v>
      </c>
      <c r="H104" s="218">
        <v>7589.840926</v>
      </c>
      <c r="I104" s="218"/>
      <c r="J104" s="109"/>
      <c r="K104" s="109"/>
    </row>
    <row r="105" spans="1:11" s="105" customFormat="1" ht="24" customHeight="1">
      <c r="A105" s="106" t="s">
        <v>52</v>
      </c>
      <c r="B105" s="107" t="s">
        <v>287</v>
      </c>
      <c r="C105" s="108">
        <f>SUM(C106:C107)</f>
        <v>0</v>
      </c>
      <c r="D105" s="108">
        <f aca="true" t="shared" si="6" ref="D105:I105">SUM(D106:D107)</f>
        <v>0</v>
      </c>
      <c r="E105" s="218">
        <f t="shared" si="6"/>
        <v>14170.317762</v>
      </c>
      <c r="F105" s="218"/>
      <c r="G105" s="218">
        <f t="shared" si="6"/>
        <v>942.485</v>
      </c>
      <c r="H105" s="218">
        <f t="shared" si="6"/>
        <v>1988.8048</v>
      </c>
      <c r="I105" s="218">
        <f t="shared" si="6"/>
        <v>11239.027962</v>
      </c>
      <c r="J105" s="109"/>
      <c r="K105" s="109"/>
    </row>
    <row r="106" spans="1:11" ht="31.5" customHeight="1">
      <c r="A106" s="111">
        <v>1</v>
      </c>
      <c r="B106" s="112" t="s">
        <v>511</v>
      </c>
      <c r="C106" s="113"/>
      <c r="D106" s="113"/>
      <c r="E106" s="219">
        <f t="shared" si="5"/>
        <v>1271.8448</v>
      </c>
      <c r="F106" s="219"/>
      <c r="G106" s="219"/>
      <c r="H106" s="219">
        <v>1022.4158</v>
      </c>
      <c r="I106" s="219">
        <v>249.429</v>
      </c>
      <c r="J106" s="114"/>
      <c r="K106" s="114"/>
    </row>
    <row r="107" spans="1:11" ht="24" customHeight="1">
      <c r="A107" s="111">
        <v>2</v>
      </c>
      <c r="B107" s="112" t="s">
        <v>512</v>
      </c>
      <c r="C107" s="113"/>
      <c r="D107" s="113"/>
      <c r="E107" s="219">
        <f t="shared" si="5"/>
        <v>12898.472962</v>
      </c>
      <c r="F107" s="219"/>
      <c r="G107" s="219">
        <v>942.485</v>
      </c>
      <c r="H107" s="219">
        <v>966.389</v>
      </c>
      <c r="I107" s="219">
        <v>10989.598962</v>
      </c>
      <c r="J107" s="114"/>
      <c r="K107" s="114"/>
    </row>
    <row r="108" spans="1:11" s="105" customFormat="1" ht="31.5" customHeight="1" hidden="1">
      <c r="A108" s="106" t="s">
        <v>66</v>
      </c>
      <c r="B108" s="107" t="s">
        <v>513</v>
      </c>
      <c r="C108" s="108">
        <f>SUM(C109:C110,C113)</f>
        <v>0</v>
      </c>
      <c r="D108" s="108">
        <f aca="true" t="shared" si="7" ref="D108:I108">SUM(D109:D110,D113)</f>
        <v>0</v>
      </c>
      <c r="E108" s="218">
        <f t="shared" si="7"/>
        <v>0</v>
      </c>
      <c r="F108" s="218"/>
      <c r="G108" s="218">
        <f t="shared" si="7"/>
        <v>0</v>
      </c>
      <c r="H108" s="218">
        <f t="shared" si="7"/>
        <v>0</v>
      </c>
      <c r="I108" s="218">
        <f t="shared" si="7"/>
        <v>0</v>
      </c>
      <c r="J108" s="109"/>
      <c r="K108" s="109"/>
    </row>
    <row r="109" spans="1:11" s="105" customFormat="1" ht="31.5" customHeight="1" hidden="1">
      <c r="A109" s="106">
        <v>1</v>
      </c>
      <c r="B109" s="107" t="s">
        <v>514</v>
      </c>
      <c r="C109" s="108"/>
      <c r="D109" s="108"/>
      <c r="E109" s="218">
        <f t="shared" si="5"/>
        <v>0</v>
      </c>
      <c r="F109" s="218"/>
      <c r="G109" s="218"/>
      <c r="H109" s="218"/>
      <c r="I109" s="218"/>
      <c r="J109" s="109"/>
      <c r="K109" s="109"/>
    </row>
    <row r="110" spans="1:11" s="105" customFormat="1" ht="24" customHeight="1" hidden="1">
      <c r="A110" s="106">
        <v>2</v>
      </c>
      <c r="B110" s="107" t="s">
        <v>515</v>
      </c>
      <c r="C110" s="108">
        <f>SUM(C111:C112)</f>
        <v>0</v>
      </c>
      <c r="D110" s="108">
        <f aca="true" t="shared" si="8" ref="D110:I110">SUM(D111:D112)</f>
        <v>0</v>
      </c>
      <c r="E110" s="218">
        <f t="shared" si="8"/>
        <v>0</v>
      </c>
      <c r="F110" s="218"/>
      <c r="G110" s="218">
        <f t="shared" si="8"/>
        <v>0</v>
      </c>
      <c r="H110" s="218">
        <f t="shared" si="8"/>
        <v>0</v>
      </c>
      <c r="I110" s="218">
        <f t="shared" si="8"/>
        <v>0</v>
      </c>
      <c r="J110" s="109"/>
      <c r="K110" s="109"/>
    </row>
    <row r="111" spans="1:11" ht="24" customHeight="1" hidden="1">
      <c r="A111" s="111" t="s">
        <v>156</v>
      </c>
      <c r="B111" s="112" t="s">
        <v>516</v>
      </c>
      <c r="C111" s="113"/>
      <c r="D111" s="113"/>
      <c r="E111" s="219">
        <f t="shared" si="5"/>
        <v>0</v>
      </c>
      <c r="F111" s="219"/>
      <c r="G111" s="219"/>
      <c r="H111" s="219"/>
      <c r="I111" s="219"/>
      <c r="J111" s="114"/>
      <c r="K111" s="114"/>
    </row>
    <row r="112" spans="1:11" ht="24" customHeight="1" hidden="1">
      <c r="A112" s="111" t="s">
        <v>157</v>
      </c>
      <c r="B112" s="112" t="s">
        <v>517</v>
      </c>
      <c r="C112" s="113"/>
      <c r="D112" s="113"/>
      <c r="E112" s="219">
        <f t="shared" si="5"/>
        <v>0</v>
      </c>
      <c r="F112" s="219"/>
      <c r="G112" s="219"/>
      <c r="H112" s="219"/>
      <c r="I112" s="219"/>
      <c r="J112" s="114"/>
      <c r="K112" s="114"/>
    </row>
    <row r="113" spans="1:11" s="105" customFormat="1" ht="24" customHeight="1" hidden="1">
      <c r="A113" s="106">
        <v>3</v>
      </c>
      <c r="B113" s="107" t="s">
        <v>537</v>
      </c>
      <c r="C113" s="108"/>
      <c r="D113" s="108"/>
      <c r="E113" s="218">
        <f t="shared" si="5"/>
        <v>0</v>
      </c>
      <c r="F113" s="218"/>
      <c r="G113" s="218"/>
      <c r="H113" s="218"/>
      <c r="I113" s="218"/>
      <c r="J113" s="109"/>
      <c r="K113" s="109"/>
    </row>
    <row r="114" spans="1:11" s="105" customFormat="1" ht="24" customHeight="1">
      <c r="A114" s="106" t="s">
        <v>46</v>
      </c>
      <c r="B114" s="107" t="s">
        <v>518</v>
      </c>
      <c r="C114" s="108">
        <f>SUM(C115,C118)</f>
        <v>0</v>
      </c>
      <c r="D114" s="108">
        <f>SUM(D115,D118)</f>
        <v>0</v>
      </c>
      <c r="E114" s="218">
        <f>SUM(E115,E118)</f>
        <v>7380.730945</v>
      </c>
      <c r="F114" s="218"/>
      <c r="G114" s="218">
        <f>SUM(G115,G118)</f>
        <v>7380.730945</v>
      </c>
      <c r="H114" s="218"/>
      <c r="I114" s="218"/>
      <c r="J114" s="109"/>
      <c r="K114" s="109"/>
    </row>
    <row r="115" spans="1:11" s="105" customFormat="1" ht="24" customHeight="1" hidden="1">
      <c r="A115" s="106" t="s">
        <v>54</v>
      </c>
      <c r="B115" s="107" t="s">
        <v>519</v>
      </c>
      <c r="C115" s="108">
        <f>SUM(C116:C117)</f>
        <v>0</v>
      </c>
      <c r="D115" s="108">
        <f>SUM(D116:D117)</f>
        <v>0</v>
      </c>
      <c r="E115" s="218">
        <f>SUM(E116:E117)</f>
        <v>0</v>
      </c>
      <c r="F115" s="218"/>
      <c r="G115" s="218">
        <f>SUM(G116:G117)</f>
        <v>0</v>
      </c>
      <c r="H115" s="218"/>
      <c r="I115" s="218"/>
      <c r="J115" s="109"/>
      <c r="K115" s="109"/>
    </row>
    <row r="116" spans="1:11" s="105" customFormat="1" ht="24" customHeight="1" hidden="1">
      <c r="A116" s="106">
        <v>1</v>
      </c>
      <c r="B116" s="107" t="s">
        <v>520</v>
      </c>
      <c r="C116" s="108"/>
      <c r="D116" s="108"/>
      <c r="E116" s="219">
        <f>SUM(F116:I116)</f>
        <v>0</v>
      </c>
      <c r="F116" s="218"/>
      <c r="G116" s="218"/>
      <c r="H116" s="218"/>
      <c r="I116" s="218"/>
      <c r="J116" s="109"/>
      <c r="K116" s="109"/>
    </row>
    <row r="117" spans="1:11" s="105" customFormat="1" ht="31.5" customHeight="1" hidden="1">
      <c r="A117" s="106">
        <v>2</v>
      </c>
      <c r="B117" s="107" t="s">
        <v>521</v>
      </c>
      <c r="C117" s="108"/>
      <c r="D117" s="108"/>
      <c r="E117" s="219">
        <f>SUM(F117:I117)</f>
        <v>0</v>
      </c>
      <c r="F117" s="218"/>
      <c r="G117" s="218"/>
      <c r="H117" s="218"/>
      <c r="I117" s="218"/>
      <c r="J117" s="109"/>
      <c r="K117" s="109"/>
    </row>
    <row r="118" spans="1:11" s="105" customFormat="1" ht="24" customHeight="1">
      <c r="A118" s="106" t="s">
        <v>54</v>
      </c>
      <c r="B118" s="107" t="s">
        <v>522</v>
      </c>
      <c r="C118" s="108">
        <f>SUM(C119:C120)</f>
        <v>0</v>
      </c>
      <c r="D118" s="108">
        <f>SUM(D119:D120)</f>
        <v>0</v>
      </c>
      <c r="E118" s="218">
        <f>SUM(E119:E120)</f>
        <v>7380.730945</v>
      </c>
      <c r="F118" s="218"/>
      <c r="G118" s="218">
        <f>SUM(G119:G120)</f>
        <v>7380.730945</v>
      </c>
      <c r="H118" s="218"/>
      <c r="I118" s="218"/>
      <c r="J118" s="109"/>
      <c r="K118" s="109"/>
    </row>
    <row r="119" spans="1:11" ht="24" customHeight="1" hidden="1">
      <c r="A119" s="111">
        <v>1</v>
      </c>
      <c r="B119" s="112" t="s">
        <v>520</v>
      </c>
      <c r="C119" s="113"/>
      <c r="D119" s="113"/>
      <c r="E119" s="219">
        <f>SUM(F119:I119)</f>
        <v>0</v>
      </c>
      <c r="F119" s="219"/>
      <c r="G119" s="219"/>
      <c r="H119" s="219"/>
      <c r="I119" s="219"/>
      <c r="J119" s="114"/>
      <c r="K119" s="114"/>
    </row>
    <row r="120" spans="1:11" ht="24" customHeight="1">
      <c r="A120" s="111">
        <v>1</v>
      </c>
      <c r="B120" s="112" t="s">
        <v>521</v>
      </c>
      <c r="C120" s="113"/>
      <c r="D120" s="113"/>
      <c r="E120" s="219">
        <f>SUM(F120:I120)</f>
        <v>7380.730945</v>
      </c>
      <c r="F120" s="219"/>
      <c r="G120" s="219">
        <v>7380.730945</v>
      </c>
      <c r="H120" s="219"/>
      <c r="I120" s="219"/>
      <c r="J120" s="114"/>
      <c r="K120" s="114"/>
    </row>
    <row r="121" spans="1:11" s="105" customFormat="1" ht="24" customHeight="1">
      <c r="A121" s="106" t="s">
        <v>53</v>
      </c>
      <c r="B121" s="107" t="s">
        <v>523</v>
      </c>
      <c r="C121" s="108">
        <f aca="true" t="shared" si="9" ref="C121:I121">SUM(C122,C127)</f>
        <v>6832383</v>
      </c>
      <c r="D121" s="108">
        <f t="shared" si="9"/>
        <v>6832383</v>
      </c>
      <c r="E121" s="218">
        <f t="shared" si="9"/>
        <v>14122036.510921001</v>
      </c>
      <c r="F121" s="218">
        <f t="shared" si="9"/>
        <v>119633.324747</v>
      </c>
      <c r="G121" s="218">
        <f t="shared" si="9"/>
        <v>8192344.400629</v>
      </c>
      <c r="H121" s="218">
        <f t="shared" si="9"/>
        <v>4858719.769226001</v>
      </c>
      <c r="I121" s="218">
        <f t="shared" si="9"/>
        <v>951339.0163189999</v>
      </c>
      <c r="J121" s="109"/>
      <c r="K121" s="109"/>
    </row>
    <row r="122" spans="1:11" s="124" customFormat="1" ht="24" customHeight="1">
      <c r="A122" s="120" t="s">
        <v>54</v>
      </c>
      <c r="B122" s="121" t="s">
        <v>550</v>
      </c>
      <c r="C122" s="122">
        <f aca="true" t="shared" si="10" ref="C122:I122">SUM(C123:C124)</f>
        <v>6832383</v>
      </c>
      <c r="D122" s="122">
        <f t="shared" si="10"/>
        <v>6832383</v>
      </c>
      <c r="E122" s="221">
        <f t="shared" si="10"/>
        <v>13948156.443359</v>
      </c>
      <c r="F122" s="221"/>
      <c r="G122" s="221">
        <f t="shared" si="10"/>
        <v>8150131.942152</v>
      </c>
      <c r="H122" s="221">
        <f t="shared" si="10"/>
        <v>4846685.484888</v>
      </c>
      <c r="I122" s="221">
        <f t="shared" si="10"/>
        <v>951339.0163189999</v>
      </c>
      <c r="J122" s="123">
        <f>E122/C122</f>
        <v>2.0414775406119654</v>
      </c>
      <c r="K122" s="123">
        <f>E122/D122</f>
        <v>2.0414775406119654</v>
      </c>
    </row>
    <row r="123" spans="1:11" s="124" customFormat="1" ht="24" customHeight="1">
      <c r="A123" s="120">
        <v>1</v>
      </c>
      <c r="B123" s="121" t="s">
        <v>524</v>
      </c>
      <c r="C123" s="122">
        <v>5666899</v>
      </c>
      <c r="D123" s="122">
        <v>5666899</v>
      </c>
      <c r="E123" s="221">
        <f>SUM(F123:I123)</f>
        <v>9878326.571153</v>
      </c>
      <c r="F123" s="221"/>
      <c r="G123" s="221">
        <v>5666899</v>
      </c>
      <c r="H123" s="221">
        <v>3611094.151471</v>
      </c>
      <c r="I123" s="221">
        <v>600333.419682</v>
      </c>
      <c r="J123" s="123">
        <f>E123/C123</f>
        <v>1.7431626311238297</v>
      </c>
      <c r="K123" s="123">
        <f>E123/D123</f>
        <v>1.7431626311238297</v>
      </c>
    </row>
    <row r="124" spans="1:11" s="124" customFormat="1" ht="24" customHeight="1">
      <c r="A124" s="120">
        <v>2</v>
      </c>
      <c r="B124" s="121" t="s">
        <v>10</v>
      </c>
      <c r="C124" s="122">
        <f aca="true" t="shared" si="11" ref="C124:I124">SUM(C125:C126)</f>
        <v>1165484</v>
      </c>
      <c r="D124" s="122">
        <f t="shared" si="11"/>
        <v>1165484</v>
      </c>
      <c r="E124" s="221">
        <f t="shared" si="11"/>
        <v>4069829.872206</v>
      </c>
      <c r="F124" s="221"/>
      <c r="G124" s="221">
        <f>SUM(G125:G126)</f>
        <v>2483232.942152</v>
      </c>
      <c r="H124" s="221">
        <f t="shared" si="11"/>
        <v>1235591.3334169998</v>
      </c>
      <c r="I124" s="221">
        <f t="shared" si="11"/>
        <v>351005.596637</v>
      </c>
      <c r="J124" s="123">
        <f>E124/C124</f>
        <v>3.4919654600200434</v>
      </c>
      <c r="K124" s="123">
        <f>E124/D124</f>
        <v>3.4919654600200434</v>
      </c>
    </row>
    <row r="125" spans="1:11" s="129" customFormat="1" ht="31.5" customHeight="1">
      <c r="A125" s="125" t="s">
        <v>156</v>
      </c>
      <c r="B125" s="126" t="s">
        <v>525</v>
      </c>
      <c r="C125" s="127">
        <f>1165484-C126</f>
        <v>844855</v>
      </c>
      <c r="D125" s="127">
        <f>1165484-D126</f>
        <v>844855</v>
      </c>
      <c r="E125" s="222">
        <f>SUM(F125:I125)</f>
        <v>3579922.017465</v>
      </c>
      <c r="F125" s="222"/>
      <c r="G125" s="222">
        <f>601444.396782+1438537.915116-1014.434688-3.611822+115088</f>
        <v>2154052.265388</v>
      </c>
      <c r="H125" s="222">
        <v>1135898.537382</v>
      </c>
      <c r="I125" s="222">
        <v>289971.214695</v>
      </c>
      <c r="J125" s="128"/>
      <c r="K125" s="128"/>
    </row>
    <row r="126" spans="1:11" s="129" customFormat="1" ht="31.5" customHeight="1">
      <c r="A126" s="125" t="s">
        <v>157</v>
      </c>
      <c r="B126" s="126" t="s">
        <v>526</v>
      </c>
      <c r="C126" s="127">
        <f>315769+4860</f>
        <v>320629</v>
      </c>
      <c r="D126" s="127">
        <f>315769+4860</f>
        <v>320629</v>
      </c>
      <c r="E126" s="222">
        <f>SUM(F126:I126)</f>
        <v>489907.85474100005</v>
      </c>
      <c r="F126" s="222"/>
      <c r="G126" s="222">
        <f>219976.396627+49313.446063+59890.834074</f>
        <v>329180.67676400003</v>
      </c>
      <c r="H126" s="222">
        <f>71576.16168+20443.971099+7672.663256</f>
        <v>99692.796035</v>
      </c>
      <c r="I126" s="222">
        <f>45373.804935+11000+4660.577007</f>
        <v>61034.381942</v>
      </c>
      <c r="J126" s="128"/>
      <c r="K126" s="128"/>
    </row>
    <row r="127" spans="1:11" s="105" customFormat="1" ht="24" customHeight="1">
      <c r="A127" s="106" t="s">
        <v>50</v>
      </c>
      <c r="B127" s="107" t="s">
        <v>337</v>
      </c>
      <c r="C127" s="108"/>
      <c r="D127" s="108"/>
      <c r="E127" s="218">
        <f>SUM(F127:I127)</f>
        <v>173880.067562</v>
      </c>
      <c r="F127" s="218">
        <f>63264.355442+56368.969305</f>
        <v>119633.324747</v>
      </c>
      <c r="G127" s="218">
        <v>42212.458477</v>
      </c>
      <c r="H127" s="218">
        <v>12034.284338</v>
      </c>
      <c r="I127" s="218"/>
      <c r="J127" s="109"/>
      <c r="K127" s="109"/>
    </row>
    <row r="128" spans="1:11" s="105" customFormat="1" ht="24" customHeight="1">
      <c r="A128" s="106" t="s">
        <v>56</v>
      </c>
      <c r="B128" s="107" t="s">
        <v>527</v>
      </c>
      <c r="C128" s="108"/>
      <c r="D128" s="108"/>
      <c r="E128" s="218">
        <f>SUM(F128:I128)</f>
        <v>1491470.7186560002</v>
      </c>
      <c r="F128" s="218"/>
      <c r="G128" s="218">
        <v>1070905.754163</v>
      </c>
      <c r="H128" s="218">
        <v>374885.834132</v>
      </c>
      <c r="I128" s="218">
        <v>45679.130361</v>
      </c>
      <c r="J128" s="109"/>
      <c r="K128" s="109"/>
    </row>
    <row r="129" spans="1:11" s="105" customFormat="1" ht="24" customHeight="1">
      <c r="A129" s="93" t="s">
        <v>61</v>
      </c>
      <c r="B129" s="130" t="s">
        <v>528</v>
      </c>
      <c r="C129" s="131"/>
      <c r="D129" s="131"/>
      <c r="E129" s="223">
        <f>SUM(F129:I129)</f>
        <v>3688.605115</v>
      </c>
      <c r="F129" s="223"/>
      <c r="G129" s="223">
        <v>11.279132</v>
      </c>
      <c r="H129" s="223">
        <v>1659.4687</v>
      </c>
      <c r="I129" s="223">
        <v>2017.857283</v>
      </c>
      <c r="J129" s="132"/>
      <c r="K129" s="132"/>
    </row>
    <row r="130" spans="1:11" s="105" customFormat="1" ht="24" customHeight="1" hidden="1">
      <c r="A130" s="133"/>
      <c r="B130" s="134" t="s">
        <v>529</v>
      </c>
      <c r="C130" s="135"/>
      <c r="D130" s="135"/>
      <c r="E130" s="136"/>
      <c r="F130" s="136"/>
      <c r="G130" s="136">
        <v>7976171.154588</v>
      </c>
      <c r="H130" s="136">
        <v>4734409.821632</v>
      </c>
      <c r="I130" s="136">
        <v>929123.022408</v>
      </c>
      <c r="J130" s="137"/>
      <c r="K130" s="137"/>
    </row>
    <row r="131" spans="1:9" ht="15.75" hidden="1">
      <c r="A131" s="138"/>
      <c r="B131" s="89" t="s">
        <v>530</v>
      </c>
      <c r="G131" s="91">
        <f>G122-G130</f>
        <v>173960.78756400011</v>
      </c>
      <c r="H131" s="91">
        <f>H122-H130</f>
        <v>112275.66325600073</v>
      </c>
      <c r="I131" s="91">
        <f>I122-I130</f>
        <v>22215.99391099997</v>
      </c>
    </row>
    <row r="132" spans="1:9" ht="15.75" hidden="1">
      <c r="A132" s="138"/>
      <c r="B132" s="89" t="s">
        <v>531</v>
      </c>
      <c r="C132" s="90">
        <f>C11-C133</f>
        <v>1037000</v>
      </c>
      <c r="D132" s="90">
        <f>(D11-D49-D55-D58-D76)-D133</f>
        <v>408703</v>
      </c>
      <c r="E132" s="90">
        <f>SUM(G132:I132)</f>
        <v>539404.367824</v>
      </c>
      <c r="G132" s="90">
        <f>(G11-G133)+G105</f>
        <v>302085.0323049999</v>
      </c>
      <c r="H132" s="90">
        <f>(H11-H133)+H105</f>
        <v>174885.0021520001</v>
      </c>
      <c r="I132" s="90">
        <f>(I11-I133)+I105</f>
        <v>62434.33336700001</v>
      </c>
    </row>
    <row r="133" spans="1:9" ht="15.75" hidden="1">
      <c r="A133" s="138"/>
      <c r="B133" s="139" t="s">
        <v>532</v>
      </c>
      <c r="D133" s="90">
        <f>SUM(D13,D15,D16,D30,D32,D35,D42,D43,D44,D53,D56)</f>
        <v>538797</v>
      </c>
      <c r="E133" s="90">
        <f>SUM(G133:I133)</f>
        <v>443761.70467</v>
      </c>
      <c r="G133" s="90">
        <f>SUM(G13,G15,G16,G30,G32,G35,G42,G43,G44,G53,G56)</f>
        <v>238659.33327799998</v>
      </c>
      <c r="H133" s="90">
        <f>SUM(H13,H15,H16,H30,H32,H35,H42,H43,H44,H53,H56)</f>
        <v>205102.37139200003</v>
      </c>
      <c r="I133" s="90">
        <f>SUM(I13,I15,I16,I30,I32,I35,I42,I43,I44,I53,I56)</f>
        <v>0</v>
      </c>
    </row>
    <row r="134" ht="24" customHeight="1">
      <c r="A134" s="138"/>
    </row>
    <row r="135" spans="1:11" s="142" customFormat="1" ht="18.75">
      <c r="A135" s="620"/>
      <c r="B135" s="620"/>
      <c r="C135" s="140"/>
      <c r="D135" s="621"/>
      <c r="E135" s="621"/>
      <c r="F135" s="621"/>
      <c r="G135" s="621"/>
      <c r="H135" s="141"/>
      <c r="I135" s="620"/>
      <c r="J135" s="620"/>
      <c r="K135" s="620"/>
    </row>
    <row r="136" spans="1:11" s="142" customFormat="1" ht="18.75">
      <c r="A136" s="592"/>
      <c r="B136" s="592"/>
      <c r="C136" s="140"/>
      <c r="D136" s="622"/>
      <c r="E136" s="622"/>
      <c r="F136" s="622"/>
      <c r="G136" s="622"/>
      <c r="H136" s="141"/>
      <c r="I136" s="592"/>
      <c r="J136" s="592"/>
      <c r="K136" s="592"/>
    </row>
    <row r="137" spans="1:11" ht="15.75">
      <c r="A137" s="579"/>
      <c r="B137" s="579"/>
      <c r="D137" s="580"/>
      <c r="E137" s="580"/>
      <c r="F137" s="580"/>
      <c r="G137" s="580"/>
      <c r="I137" s="579"/>
      <c r="J137" s="579"/>
      <c r="K137" s="579"/>
    </row>
    <row r="138" spans="1:11" ht="15.75">
      <c r="A138" s="143"/>
      <c r="B138" s="143"/>
      <c r="D138" s="144"/>
      <c r="E138" s="145"/>
      <c r="F138" s="145"/>
      <c r="G138" s="145"/>
      <c r="I138" s="145"/>
      <c r="J138" s="146"/>
      <c r="K138" s="146"/>
    </row>
    <row r="139" spans="1:11" ht="15.75" hidden="1">
      <c r="A139" s="143"/>
      <c r="B139" s="143"/>
      <c r="D139" s="144"/>
      <c r="E139" s="145"/>
      <c r="F139" s="145"/>
      <c r="G139" s="145">
        <v>7694075.36321</v>
      </c>
      <c r="H139" s="91">
        <v>4730141.30225</v>
      </c>
      <c r="I139" s="145">
        <v>926243.48132</v>
      </c>
      <c r="J139" s="146"/>
      <c r="K139" s="146"/>
    </row>
    <row r="140" spans="1:11" ht="15.75" hidden="1">
      <c r="A140" s="143"/>
      <c r="B140" s="143"/>
      <c r="D140" s="144"/>
      <c r="E140" s="145"/>
      <c r="F140" s="145"/>
      <c r="G140" s="145">
        <f>G122-G139</f>
        <v>456056.57894199993</v>
      </c>
      <c r="H140" s="145">
        <f>H122-H139</f>
        <v>116544.1826380007</v>
      </c>
      <c r="I140" s="145">
        <f>I122-I139</f>
        <v>25095.53499899991</v>
      </c>
      <c r="J140" s="146"/>
      <c r="K140" s="146"/>
    </row>
    <row r="141" spans="1:11" ht="15.75" hidden="1">
      <c r="A141" s="143"/>
      <c r="B141" s="143"/>
      <c r="D141" s="144"/>
      <c r="E141" s="145"/>
      <c r="F141" s="145"/>
      <c r="G141" s="145">
        <v>71576.16168</v>
      </c>
      <c r="H141" s="91">
        <f>5241.2196-1750</f>
        <v>3491.2196000000004</v>
      </c>
      <c r="I141" s="145"/>
      <c r="J141" s="146"/>
      <c r="K141" s="146"/>
    </row>
    <row r="142" spans="1:8" ht="15.75" hidden="1">
      <c r="A142" s="138"/>
      <c r="G142" s="91">
        <v>210519.629698</v>
      </c>
      <c r="H142" s="91">
        <f>H140-H141</f>
        <v>113052.9630380007</v>
      </c>
    </row>
    <row r="143" ht="15" hidden="1">
      <c r="G143" s="91">
        <f>G140-G142-G141</f>
        <v>173960.78756399994</v>
      </c>
    </row>
    <row r="145" spans="1:11" ht="15.75">
      <c r="A145" s="581"/>
      <c r="B145" s="581"/>
      <c r="C145" s="581"/>
      <c r="D145" s="581"/>
      <c r="E145" s="581"/>
      <c r="F145" s="581"/>
      <c r="G145" s="581"/>
      <c r="H145" s="581"/>
      <c r="I145" s="581"/>
      <c r="J145" s="581"/>
      <c r="K145" s="581"/>
    </row>
  </sheetData>
  <sheetProtection/>
  <mergeCells count="21">
    <mergeCell ref="F6:I6"/>
    <mergeCell ref="I137:K137"/>
    <mergeCell ref="A6:A7"/>
    <mergeCell ref="D137:G137"/>
    <mergeCell ref="A1:B1"/>
    <mergeCell ref="A3:K3"/>
    <mergeCell ref="I1:K1"/>
    <mergeCell ref="J5:K5"/>
    <mergeCell ref="J6:K6"/>
    <mergeCell ref="B6:B7"/>
    <mergeCell ref="A4:K4"/>
    <mergeCell ref="I136:K136"/>
    <mergeCell ref="C6:D6"/>
    <mergeCell ref="A137:B137"/>
    <mergeCell ref="E6:E7"/>
    <mergeCell ref="A145:K145"/>
    <mergeCell ref="A135:B135"/>
    <mergeCell ref="D135:G135"/>
    <mergeCell ref="I135:K135"/>
    <mergeCell ref="A136:B136"/>
    <mergeCell ref="D136:G136"/>
  </mergeCells>
  <printOptions horizontalCentered="1"/>
  <pageMargins left="0" right="0" top="0.511811023622047" bottom="0" header="0.511811023622047" footer="0.511811023622047"/>
  <pageSetup horizontalDpi="300" verticalDpi="300" orientation="landscape" paperSize="9" scale="65" r:id="rId1"/>
</worksheet>
</file>

<file path=xl/worksheets/sheet7.xml><?xml version="1.0" encoding="utf-8"?>
<worksheet xmlns="http://schemas.openxmlformats.org/spreadsheetml/2006/main" xmlns:r="http://schemas.openxmlformats.org/officeDocument/2006/relationships">
  <dimension ref="A1:L63"/>
  <sheetViews>
    <sheetView zoomScale="85" zoomScaleNormal="85" zoomScalePageLayoutView="0" workbookViewId="0" topLeftCell="A1">
      <pane xSplit="2" ySplit="8" topLeftCell="C9" activePane="bottomRight" state="frozen"/>
      <selection pane="topLeft" activeCell="A1" sqref="A1"/>
      <selection pane="topRight" activeCell="C1" sqref="C1"/>
      <selection pane="bottomLeft" activeCell="A12" sqref="A12"/>
      <selection pane="bottomRight" activeCell="C8" sqref="C8"/>
    </sheetView>
  </sheetViews>
  <sheetFormatPr defaultColWidth="9.125" defaultRowHeight="14.25"/>
  <cols>
    <col min="1" max="1" width="5.375" style="310" customWidth="1"/>
    <col min="2" max="2" width="57.00390625" style="310" customWidth="1"/>
    <col min="3" max="4" width="11.25390625" style="310" customWidth="1"/>
    <col min="5" max="5" width="18.25390625" style="310" customWidth="1"/>
    <col min="6" max="6" width="18.875" style="310" customWidth="1"/>
    <col min="7" max="7" width="18.00390625" style="310" customWidth="1"/>
    <col min="8" max="8" width="17.75390625" style="310" customWidth="1"/>
    <col min="9" max="10" width="11.25390625" style="310" customWidth="1"/>
    <col min="11" max="16384" width="9.125" style="310" customWidth="1"/>
  </cols>
  <sheetData>
    <row r="1" spans="1:10" s="319" customFormat="1" ht="16.5">
      <c r="A1" s="636"/>
      <c r="B1" s="636"/>
      <c r="H1" s="639" t="s">
        <v>679</v>
      </c>
      <c r="I1" s="639"/>
      <c r="J1" s="639"/>
    </row>
    <row r="2" spans="1:2" ht="15.75">
      <c r="A2" s="637"/>
      <c r="B2" s="637"/>
    </row>
    <row r="3" spans="1:10" ht="34.5" customHeight="1">
      <c r="A3" s="638" t="s">
        <v>643</v>
      </c>
      <c r="B3" s="638"/>
      <c r="C3" s="638"/>
      <c r="D3" s="638"/>
      <c r="E3" s="638"/>
      <c r="F3" s="638"/>
      <c r="G3" s="638"/>
      <c r="H3" s="638"/>
      <c r="I3" s="638"/>
      <c r="J3" s="638"/>
    </row>
    <row r="4" spans="1:12" ht="27.75" customHeight="1">
      <c r="A4" s="618" t="s">
        <v>680</v>
      </c>
      <c r="B4" s="618"/>
      <c r="C4" s="618"/>
      <c r="D4" s="618"/>
      <c r="E4" s="618"/>
      <c r="F4" s="618"/>
      <c r="G4" s="618"/>
      <c r="H4" s="618"/>
      <c r="I4" s="618"/>
      <c r="J4" s="618"/>
      <c r="K4" s="557"/>
      <c r="L4" s="557"/>
    </row>
    <row r="5" spans="6:10" ht="18.75">
      <c r="F5" s="320"/>
      <c r="I5" s="562" t="s">
        <v>682</v>
      </c>
      <c r="J5" s="321"/>
    </row>
    <row r="6" spans="1:10" ht="24" customHeight="1">
      <c r="A6" s="635" t="s">
        <v>43</v>
      </c>
      <c r="B6" s="635" t="s">
        <v>130</v>
      </c>
      <c r="C6" s="635" t="s">
        <v>431</v>
      </c>
      <c r="D6" s="635"/>
      <c r="E6" s="635" t="s">
        <v>432</v>
      </c>
      <c r="F6" s="635"/>
      <c r="G6" s="635"/>
      <c r="H6" s="635"/>
      <c r="I6" s="635" t="s">
        <v>131</v>
      </c>
      <c r="J6" s="635"/>
    </row>
    <row r="7" spans="1:10" ht="51.75" customHeight="1">
      <c r="A7" s="635"/>
      <c r="B7" s="635"/>
      <c r="C7" s="203" t="s">
        <v>132</v>
      </c>
      <c r="D7" s="203" t="s">
        <v>133</v>
      </c>
      <c r="E7" s="203" t="s">
        <v>433</v>
      </c>
      <c r="F7" s="203" t="s">
        <v>488</v>
      </c>
      <c r="G7" s="203" t="s">
        <v>489</v>
      </c>
      <c r="H7" s="203" t="s">
        <v>490</v>
      </c>
      <c r="I7" s="203" t="s">
        <v>132</v>
      </c>
      <c r="J7" s="203" t="s">
        <v>133</v>
      </c>
    </row>
    <row r="8" spans="1:10" s="323" customFormat="1" ht="20.25" customHeight="1">
      <c r="A8" s="322" t="s">
        <v>45</v>
      </c>
      <c r="B8" s="322" t="s">
        <v>46</v>
      </c>
      <c r="C8" s="322">
        <v>1</v>
      </c>
      <c r="D8" s="322">
        <v>2</v>
      </c>
      <c r="E8" s="322" t="s">
        <v>434</v>
      </c>
      <c r="F8" s="322">
        <v>4</v>
      </c>
      <c r="G8" s="322">
        <v>5</v>
      </c>
      <c r="H8" s="322">
        <v>6</v>
      </c>
      <c r="I8" s="322" t="s">
        <v>435</v>
      </c>
      <c r="J8" s="322" t="s">
        <v>436</v>
      </c>
    </row>
    <row r="9" spans="1:10" ht="24.75" customHeight="1">
      <c r="A9" s="173" t="s">
        <v>45</v>
      </c>
      <c r="B9" s="229" t="s">
        <v>134</v>
      </c>
      <c r="C9" s="324">
        <f aca="true" t="shared" si="0" ref="C9:H9">SUM(C10,C27,C28,C43:C45)</f>
        <v>7605783</v>
      </c>
      <c r="D9" s="324">
        <f t="shared" si="0"/>
        <v>7652022</v>
      </c>
      <c r="E9" s="325">
        <f t="shared" si="0"/>
        <v>10329154.113309002</v>
      </c>
      <c r="F9" s="325">
        <f t="shared" si="0"/>
        <v>4655765.494822001</v>
      </c>
      <c r="G9" s="325">
        <f t="shared" si="0"/>
        <v>4625519.986649999</v>
      </c>
      <c r="H9" s="325">
        <f t="shared" si="0"/>
        <v>1047868.6318369999</v>
      </c>
      <c r="I9" s="326">
        <f>E9/C9</f>
        <v>1.358065844543422</v>
      </c>
      <c r="J9" s="326">
        <f>E9/D9</f>
        <v>1.3498594375851247</v>
      </c>
    </row>
    <row r="10" spans="1:10" ht="24.75" customHeight="1">
      <c r="A10" s="44" t="s">
        <v>54</v>
      </c>
      <c r="B10" s="45" t="s">
        <v>561</v>
      </c>
      <c r="C10" s="312">
        <v>1514881</v>
      </c>
      <c r="D10" s="312">
        <f>607852+245392+142000+562059</f>
        <v>1557303</v>
      </c>
      <c r="E10" s="313">
        <f>SUM(E11,E25,E26)</f>
        <v>1995365.954307</v>
      </c>
      <c r="F10" s="313">
        <f>SUM(F11,F25,F26)</f>
        <v>1431069.011022</v>
      </c>
      <c r="G10" s="313">
        <f>SUM(G11,G25,G26)</f>
        <v>373649.491828</v>
      </c>
      <c r="H10" s="313">
        <f>SUM(H11,H25,H26)</f>
        <v>190647.45145700002</v>
      </c>
      <c r="I10" s="316">
        <f>E10/C10</f>
        <v>1.3171766985703828</v>
      </c>
      <c r="J10" s="316">
        <f>E10/D10</f>
        <v>1.281295903434977</v>
      </c>
    </row>
    <row r="11" spans="1:10" ht="24.75" customHeight="1">
      <c r="A11" s="44">
        <v>1</v>
      </c>
      <c r="B11" s="45" t="s">
        <v>135</v>
      </c>
      <c r="C11" s="40"/>
      <c r="D11" s="40"/>
      <c r="E11" s="313">
        <f>SUM(E12:E24)</f>
        <v>1992515.954307</v>
      </c>
      <c r="F11" s="313">
        <f>SUM(F12:F24)</f>
        <v>1429069.011022</v>
      </c>
      <c r="G11" s="313">
        <f>SUM(G12:G24)</f>
        <v>372799.491828</v>
      </c>
      <c r="H11" s="313">
        <f>SUM(H12:H24)</f>
        <v>190647.45145700002</v>
      </c>
      <c r="I11" s="316"/>
      <c r="J11" s="316"/>
    </row>
    <row r="12" spans="1:10" ht="24.75" customHeight="1">
      <c r="A12" s="42" t="s">
        <v>582</v>
      </c>
      <c r="B12" s="43" t="s">
        <v>300</v>
      </c>
      <c r="C12" s="40"/>
      <c r="D12" s="40"/>
      <c r="E12" s="309">
        <f aca="true" t="shared" si="1" ref="E12:E26">SUM(F12:H12)</f>
        <v>41404.431428</v>
      </c>
      <c r="F12" s="178">
        <f>42488.242528-1083.8111</f>
        <v>41404.431428</v>
      </c>
      <c r="G12" s="309"/>
      <c r="H12" s="309"/>
      <c r="I12" s="316"/>
      <c r="J12" s="316"/>
    </row>
    <row r="13" spans="1:10" ht="24.75" customHeight="1">
      <c r="A13" s="42" t="s">
        <v>584</v>
      </c>
      <c r="B13" s="43" t="s">
        <v>301</v>
      </c>
      <c r="C13" s="40"/>
      <c r="D13" s="40"/>
      <c r="E13" s="309">
        <f t="shared" si="1"/>
        <v>5952.532021</v>
      </c>
      <c r="F13" s="178">
        <v>5952.532021</v>
      </c>
      <c r="G13" s="309"/>
      <c r="H13" s="309"/>
      <c r="I13" s="316"/>
      <c r="J13" s="316"/>
    </row>
    <row r="14" spans="1:10" ht="24.75" customHeight="1">
      <c r="A14" s="42" t="s">
        <v>586</v>
      </c>
      <c r="B14" s="43" t="s">
        <v>136</v>
      </c>
      <c r="C14" s="40"/>
      <c r="D14" s="40"/>
      <c r="E14" s="309">
        <f t="shared" si="1"/>
        <v>317434.034552</v>
      </c>
      <c r="F14" s="178">
        <v>291443.661427</v>
      </c>
      <c r="G14" s="327">
        <v>25244.401625</v>
      </c>
      <c r="H14" s="309">
        <v>745.9715</v>
      </c>
      <c r="I14" s="316"/>
      <c r="J14" s="316"/>
    </row>
    <row r="15" spans="1:10" ht="24.75" customHeight="1">
      <c r="A15" s="42" t="s">
        <v>596</v>
      </c>
      <c r="B15" s="43" t="s">
        <v>137</v>
      </c>
      <c r="C15" s="40"/>
      <c r="D15" s="40"/>
      <c r="E15" s="309">
        <f t="shared" si="1"/>
        <v>8629.1336</v>
      </c>
      <c r="F15" s="178">
        <v>8629.1336</v>
      </c>
      <c r="G15" s="309"/>
      <c r="H15" s="309"/>
      <c r="I15" s="316"/>
      <c r="J15" s="316"/>
    </row>
    <row r="16" spans="1:10" ht="24.75" customHeight="1">
      <c r="A16" s="42" t="s">
        <v>598</v>
      </c>
      <c r="B16" s="43" t="s">
        <v>138</v>
      </c>
      <c r="C16" s="40"/>
      <c r="D16" s="40"/>
      <c r="E16" s="309">
        <f t="shared" si="1"/>
        <v>30157.946881</v>
      </c>
      <c r="F16" s="178">
        <v>29278.345881</v>
      </c>
      <c r="G16" s="309">
        <v>879.601</v>
      </c>
      <c r="H16" s="309"/>
      <c r="I16" s="316"/>
      <c r="J16" s="316"/>
    </row>
    <row r="17" spans="1:10" ht="24.75" customHeight="1">
      <c r="A17" s="42" t="s">
        <v>139</v>
      </c>
      <c r="B17" s="43" t="s">
        <v>140</v>
      </c>
      <c r="C17" s="40"/>
      <c r="D17" s="40"/>
      <c r="E17" s="309">
        <f t="shared" si="1"/>
        <v>21509.454880999998</v>
      </c>
      <c r="F17" s="178">
        <v>11964.778614</v>
      </c>
      <c r="G17" s="309">
        <v>775.88</v>
      </c>
      <c r="H17" s="309">
        <v>8768.796267</v>
      </c>
      <c r="I17" s="316"/>
      <c r="J17" s="316"/>
    </row>
    <row r="18" spans="1:10" ht="24.75" customHeight="1">
      <c r="A18" s="42" t="s">
        <v>141</v>
      </c>
      <c r="B18" s="43" t="s">
        <v>142</v>
      </c>
      <c r="C18" s="40"/>
      <c r="D18" s="40"/>
      <c r="E18" s="309">
        <f t="shared" si="1"/>
        <v>1955</v>
      </c>
      <c r="F18" s="178">
        <v>1955</v>
      </c>
      <c r="G18" s="309"/>
      <c r="H18" s="309"/>
      <c r="I18" s="316"/>
      <c r="J18" s="316"/>
    </row>
    <row r="19" spans="1:10" ht="24.75" customHeight="1">
      <c r="A19" s="42" t="s">
        <v>143</v>
      </c>
      <c r="B19" s="43" t="s">
        <v>144</v>
      </c>
      <c r="C19" s="40"/>
      <c r="D19" s="40"/>
      <c r="E19" s="309">
        <f t="shared" si="1"/>
        <v>6678.7483</v>
      </c>
      <c r="F19" s="178">
        <v>6678.7483</v>
      </c>
      <c r="G19" s="309"/>
      <c r="H19" s="309"/>
      <c r="I19" s="316"/>
      <c r="J19" s="316"/>
    </row>
    <row r="20" spans="1:10" ht="24.75" customHeight="1">
      <c r="A20" s="42" t="s">
        <v>145</v>
      </c>
      <c r="B20" s="43" t="s">
        <v>146</v>
      </c>
      <c r="C20" s="40"/>
      <c r="D20" s="40"/>
      <c r="E20" s="309">
        <f t="shared" si="1"/>
        <v>30571.829068</v>
      </c>
      <c r="F20" s="178">
        <v>30571.829068</v>
      </c>
      <c r="G20" s="309"/>
      <c r="H20" s="309"/>
      <c r="I20" s="316"/>
      <c r="J20" s="316"/>
    </row>
    <row r="21" spans="1:10" ht="24.75" customHeight="1">
      <c r="A21" s="42" t="s">
        <v>147</v>
      </c>
      <c r="B21" s="43" t="s">
        <v>307</v>
      </c>
      <c r="C21" s="40"/>
      <c r="D21" s="40"/>
      <c r="E21" s="309">
        <f t="shared" si="1"/>
        <v>1292474.183603</v>
      </c>
      <c r="F21" s="178">
        <v>851144.488094</v>
      </c>
      <c r="G21" s="309">
        <v>315688.609563</v>
      </c>
      <c r="H21" s="309">
        <v>125641.085946</v>
      </c>
      <c r="I21" s="316"/>
      <c r="J21" s="316"/>
    </row>
    <row r="22" spans="1:10" ht="24.75" customHeight="1">
      <c r="A22" s="42" t="s">
        <v>148</v>
      </c>
      <c r="B22" s="43" t="s">
        <v>149</v>
      </c>
      <c r="C22" s="40"/>
      <c r="D22" s="40"/>
      <c r="E22" s="309">
        <f t="shared" si="1"/>
        <v>143699.346801</v>
      </c>
      <c r="F22" s="178">
        <v>135264.060264</v>
      </c>
      <c r="G22" s="309">
        <v>6179.518744</v>
      </c>
      <c r="H22" s="309">
        <v>2255.767793</v>
      </c>
      <c r="I22" s="316"/>
      <c r="J22" s="316"/>
    </row>
    <row r="23" spans="1:10" ht="24.75" customHeight="1">
      <c r="A23" s="42" t="s">
        <v>150</v>
      </c>
      <c r="B23" s="43" t="s">
        <v>151</v>
      </c>
      <c r="C23" s="40"/>
      <c r="D23" s="40"/>
      <c r="E23" s="309">
        <f t="shared" si="1"/>
        <v>367.851414</v>
      </c>
      <c r="F23" s="178"/>
      <c r="G23" s="309">
        <v>367.851414</v>
      </c>
      <c r="H23" s="309"/>
      <c r="I23" s="316"/>
      <c r="J23" s="316"/>
    </row>
    <row r="24" spans="1:10" ht="24.75" customHeight="1">
      <c r="A24" s="42" t="s">
        <v>152</v>
      </c>
      <c r="B24" s="43" t="s">
        <v>153</v>
      </c>
      <c r="C24" s="40"/>
      <c r="D24" s="40"/>
      <c r="E24" s="309">
        <f t="shared" si="1"/>
        <v>91681.46175799999</v>
      </c>
      <c r="F24" s="178">
        <f>10975+3807.002325</f>
        <v>14782.002325</v>
      </c>
      <c r="G24" s="309">
        <v>23663.629482</v>
      </c>
      <c r="H24" s="309">
        <v>53235.829951</v>
      </c>
      <c r="I24" s="316"/>
      <c r="J24" s="316"/>
    </row>
    <row r="25" spans="1:10" ht="15.75">
      <c r="A25" s="44">
        <v>2</v>
      </c>
      <c r="B25" s="45" t="s">
        <v>154</v>
      </c>
      <c r="C25" s="40"/>
      <c r="D25" s="40"/>
      <c r="E25" s="313">
        <f t="shared" si="1"/>
        <v>2350</v>
      </c>
      <c r="F25" s="175">
        <v>2000</v>
      </c>
      <c r="G25" s="313">
        <v>350</v>
      </c>
      <c r="H25" s="309"/>
      <c r="I25" s="316"/>
      <c r="J25" s="316"/>
    </row>
    <row r="26" spans="1:10" ht="24.75" customHeight="1">
      <c r="A26" s="44">
        <v>3</v>
      </c>
      <c r="B26" s="45" t="s">
        <v>574</v>
      </c>
      <c r="C26" s="40"/>
      <c r="D26" s="40"/>
      <c r="E26" s="313">
        <f t="shared" si="1"/>
        <v>500</v>
      </c>
      <c r="F26" s="175"/>
      <c r="G26" s="313">
        <v>500</v>
      </c>
      <c r="H26" s="313"/>
      <c r="I26" s="316"/>
      <c r="J26" s="316"/>
    </row>
    <row r="27" spans="1:10" ht="24.75" customHeight="1">
      <c r="A27" s="44" t="s">
        <v>50</v>
      </c>
      <c r="B27" s="45" t="s">
        <v>155</v>
      </c>
      <c r="C27" s="40"/>
      <c r="D27" s="312">
        <v>3817</v>
      </c>
      <c r="E27" s="313">
        <f>SUM(F27:H27)</f>
        <v>1681.227623</v>
      </c>
      <c r="F27" s="175">
        <v>1681.227623</v>
      </c>
      <c r="G27" s="309"/>
      <c r="H27" s="309"/>
      <c r="I27" s="316"/>
      <c r="J27" s="316">
        <f aca="true" t="shared" si="2" ref="J27:J39">E27/D27</f>
        <v>0.4404578525019649</v>
      </c>
    </row>
    <row r="28" spans="1:10" ht="24.75" customHeight="1">
      <c r="A28" s="44" t="s">
        <v>51</v>
      </c>
      <c r="B28" s="45" t="s">
        <v>58</v>
      </c>
      <c r="C28" s="312">
        <f>SUM(C29:C41)</f>
        <v>5957612</v>
      </c>
      <c r="D28" s="312">
        <f>SUM(D29:D42)</f>
        <v>5957612</v>
      </c>
      <c r="E28" s="328">
        <f>SUM(E29:E42)</f>
        <v>6559375.011641</v>
      </c>
      <c r="F28" s="175">
        <f>SUM(F29:F42)</f>
        <v>1951447.4248990004</v>
      </c>
      <c r="G28" s="313">
        <f>SUM(G29:G42)</f>
        <v>3832098.0564159993</v>
      </c>
      <c r="H28" s="313">
        <f>SUM(H29:H42)</f>
        <v>775829.530326</v>
      </c>
      <c r="I28" s="316">
        <f>E28/C28</f>
        <v>1.1010074190197348</v>
      </c>
      <c r="J28" s="316">
        <f t="shared" si="2"/>
        <v>1.1010074190197348</v>
      </c>
    </row>
    <row r="29" spans="1:10" ht="24.75" customHeight="1">
      <c r="A29" s="42" t="s">
        <v>156</v>
      </c>
      <c r="B29" s="43" t="s">
        <v>300</v>
      </c>
      <c r="C29" s="40"/>
      <c r="D29" s="40">
        <v>111828</v>
      </c>
      <c r="E29" s="309">
        <f>SUM(F29:H29)</f>
        <v>152824.356184</v>
      </c>
      <c r="F29" s="178">
        <v>67286.096</v>
      </c>
      <c r="G29" s="309">
        <v>38490.697</v>
      </c>
      <c r="H29" s="309">
        <v>47047.563184</v>
      </c>
      <c r="I29" s="316"/>
      <c r="J29" s="316">
        <f t="shared" si="2"/>
        <v>1.3666018902600423</v>
      </c>
    </row>
    <row r="30" spans="1:10" ht="24.75" customHeight="1">
      <c r="A30" s="42" t="s">
        <v>157</v>
      </c>
      <c r="B30" s="43" t="s">
        <v>301</v>
      </c>
      <c r="C30" s="40"/>
      <c r="D30" s="40">
        <v>28172</v>
      </c>
      <c r="E30" s="309">
        <f aca="true" t="shared" si="3" ref="E30:E35">SUM(F30:H30)</f>
        <v>56109.208599</v>
      </c>
      <c r="F30" s="178">
        <v>14929.515962</v>
      </c>
      <c r="G30" s="309">
        <v>15594.359199999999</v>
      </c>
      <c r="H30" s="309">
        <v>25585.333437</v>
      </c>
      <c r="I30" s="316"/>
      <c r="J30" s="316">
        <f t="shared" si="2"/>
        <v>1.9916657886908986</v>
      </c>
    </row>
    <row r="31" spans="1:10" ht="24.75" customHeight="1">
      <c r="A31" s="42" t="s">
        <v>158</v>
      </c>
      <c r="B31" s="43" t="s">
        <v>136</v>
      </c>
      <c r="C31" s="40">
        <v>2813702</v>
      </c>
      <c r="D31" s="40">
        <v>2813923</v>
      </c>
      <c r="E31" s="309">
        <f t="shared" si="3"/>
        <v>3164834.5496569998</v>
      </c>
      <c r="F31" s="178">
        <v>504350.560317</v>
      </c>
      <c r="G31" s="309">
        <v>2654988.708057</v>
      </c>
      <c r="H31" s="309">
        <v>5495.281283</v>
      </c>
      <c r="I31" s="316">
        <f>E31/C31</f>
        <v>1.1247937946722857</v>
      </c>
      <c r="J31" s="316">
        <f t="shared" si="2"/>
        <v>1.1247054555711011</v>
      </c>
    </row>
    <row r="32" spans="1:10" ht="24.75" customHeight="1">
      <c r="A32" s="42" t="s">
        <v>159</v>
      </c>
      <c r="B32" s="43" t="s">
        <v>137</v>
      </c>
      <c r="C32" s="40">
        <v>12550</v>
      </c>
      <c r="D32" s="40">
        <v>12550</v>
      </c>
      <c r="E32" s="309">
        <f t="shared" si="3"/>
        <v>14413.096657</v>
      </c>
      <c r="F32" s="178">
        <v>10620.446316</v>
      </c>
      <c r="G32" s="309">
        <v>3792.650341</v>
      </c>
      <c r="H32" s="309"/>
      <c r="I32" s="316">
        <f>E32/C32</f>
        <v>1.1484539168924304</v>
      </c>
      <c r="J32" s="316">
        <f t="shared" si="2"/>
        <v>1.1484539168924304</v>
      </c>
    </row>
    <row r="33" spans="1:10" ht="24.75" customHeight="1">
      <c r="A33" s="42" t="s">
        <v>160</v>
      </c>
      <c r="B33" s="43" t="s">
        <v>138</v>
      </c>
      <c r="C33" s="40"/>
      <c r="D33" s="40">
        <v>619434</v>
      </c>
      <c r="E33" s="309">
        <f t="shared" si="3"/>
        <v>662595.304995</v>
      </c>
      <c r="F33" s="178">
        <v>653526.357345</v>
      </c>
      <c r="G33" s="309">
        <v>9068.94765</v>
      </c>
      <c r="H33" s="309">
        <v>0</v>
      </c>
      <c r="I33" s="316"/>
      <c r="J33" s="316">
        <f t="shared" si="2"/>
        <v>1.0696786178914945</v>
      </c>
    </row>
    <row r="34" spans="1:10" ht="24.75" customHeight="1">
      <c r="A34" s="42" t="s">
        <v>161</v>
      </c>
      <c r="B34" s="43" t="s">
        <v>140</v>
      </c>
      <c r="C34" s="40"/>
      <c r="D34" s="40">
        <v>74485</v>
      </c>
      <c r="E34" s="309">
        <f t="shared" si="3"/>
        <v>86934.701575</v>
      </c>
      <c r="F34" s="178">
        <v>49225.2604</v>
      </c>
      <c r="G34" s="309">
        <v>24698.348946</v>
      </c>
      <c r="H34" s="309">
        <v>13011.092229</v>
      </c>
      <c r="I34" s="316"/>
      <c r="J34" s="316">
        <f t="shared" si="2"/>
        <v>1.1671437413573202</v>
      </c>
    </row>
    <row r="35" spans="1:10" ht="24.75" customHeight="1">
      <c r="A35" s="42" t="s">
        <v>162</v>
      </c>
      <c r="B35" s="43" t="s">
        <v>142</v>
      </c>
      <c r="C35" s="40"/>
      <c r="D35" s="40">
        <v>49167</v>
      </c>
      <c r="E35" s="309">
        <f t="shared" si="3"/>
        <v>45447.865332999994</v>
      </c>
      <c r="F35" s="178">
        <v>25849.6</v>
      </c>
      <c r="G35" s="309">
        <v>19598.265333</v>
      </c>
      <c r="H35" s="309">
        <v>0</v>
      </c>
      <c r="I35" s="316"/>
      <c r="J35" s="316">
        <f t="shared" si="2"/>
        <v>0.924357095877316</v>
      </c>
    </row>
    <row r="36" spans="1:10" ht="24.75" customHeight="1">
      <c r="A36" s="42" t="s">
        <v>163</v>
      </c>
      <c r="B36" s="43" t="s">
        <v>144</v>
      </c>
      <c r="C36" s="40"/>
      <c r="D36" s="40">
        <v>14393</v>
      </c>
      <c r="E36" s="309">
        <f>SUM(F36:H36)</f>
        <v>20098.774578</v>
      </c>
      <c r="F36" s="178">
        <v>6399</v>
      </c>
      <c r="G36" s="309">
        <v>10357.400542</v>
      </c>
      <c r="H36" s="309">
        <v>3342.374036</v>
      </c>
      <c r="I36" s="316"/>
      <c r="J36" s="316">
        <f t="shared" si="2"/>
        <v>1.3964270532897938</v>
      </c>
    </row>
    <row r="37" spans="1:10" ht="24.75" customHeight="1">
      <c r="A37" s="42" t="s">
        <v>164</v>
      </c>
      <c r="B37" s="43" t="s">
        <v>146</v>
      </c>
      <c r="C37" s="40">
        <v>59520</v>
      </c>
      <c r="D37" s="40">
        <v>59520</v>
      </c>
      <c r="E37" s="309">
        <f>SUM(F37:H37)</f>
        <v>69549.182143</v>
      </c>
      <c r="F37" s="178">
        <v>19541.007139</v>
      </c>
      <c r="G37" s="309">
        <v>44824.554653</v>
      </c>
      <c r="H37" s="309">
        <v>5183.620351</v>
      </c>
      <c r="I37" s="316">
        <f>E37/C37</f>
        <v>1.1685010440692205</v>
      </c>
      <c r="J37" s="316">
        <f t="shared" si="2"/>
        <v>1.1685010440692205</v>
      </c>
    </row>
    <row r="38" spans="1:10" ht="24.75" customHeight="1">
      <c r="A38" s="42" t="s">
        <v>165</v>
      </c>
      <c r="B38" s="43" t="s">
        <v>307</v>
      </c>
      <c r="C38" s="40"/>
      <c r="D38" s="40">
        <v>781581</v>
      </c>
      <c r="E38" s="309">
        <f>SUM(F38:H38)</f>
        <v>796854.333114</v>
      </c>
      <c r="F38" s="309">
        <v>181444.227644</v>
      </c>
      <c r="G38" s="309">
        <v>499391.195161</v>
      </c>
      <c r="H38" s="309">
        <v>116018.910309</v>
      </c>
      <c r="I38" s="316"/>
      <c r="J38" s="316">
        <f t="shared" si="2"/>
        <v>1.0195415870063371</v>
      </c>
    </row>
    <row r="39" spans="1:10" ht="24.75" customHeight="1">
      <c r="A39" s="42" t="s">
        <v>166</v>
      </c>
      <c r="B39" s="43" t="s">
        <v>149</v>
      </c>
      <c r="C39" s="40"/>
      <c r="D39" s="40">
        <v>1135612</v>
      </c>
      <c r="E39" s="309">
        <f>SUM(F39:H39)</f>
        <v>1271259.391968</v>
      </c>
      <c r="F39" s="309">
        <v>370696.208055</v>
      </c>
      <c r="G39" s="309">
        <v>376300.432361</v>
      </c>
      <c r="H39" s="309">
        <v>524262.751552</v>
      </c>
      <c r="I39" s="316"/>
      <c r="J39" s="316">
        <f t="shared" si="2"/>
        <v>1.1194487130886253</v>
      </c>
    </row>
    <row r="40" spans="1:10" ht="24.75" customHeight="1">
      <c r="A40" s="42" t="s">
        <v>167</v>
      </c>
      <c r="B40" s="43" t="s">
        <v>151</v>
      </c>
      <c r="C40" s="40"/>
      <c r="D40" s="40">
        <v>142759</v>
      </c>
      <c r="E40" s="309">
        <f aca="true" t="shared" si="4" ref="E40:E45">SUM(F40:H40)</f>
        <v>205081.727946</v>
      </c>
      <c r="F40" s="178">
        <v>42737.240044</v>
      </c>
      <c r="G40" s="309">
        <v>126924.550957</v>
      </c>
      <c r="H40" s="309">
        <v>35419.936945</v>
      </c>
      <c r="I40" s="316"/>
      <c r="J40" s="316"/>
    </row>
    <row r="41" spans="1:10" ht="24.75" customHeight="1">
      <c r="A41" s="42" t="s">
        <v>168</v>
      </c>
      <c r="B41" s="43" t="s">
        <v>169</v>
      </c>
      <c r="C41" s="40">
        <v>3071840</v>
      </c>
      <c r="D41" s="40">
        <v>100069</v>
      </c>
      <c r="E41" s="309">
        <f t="shared" si="4"/>
        <v>13372.518891999998</v>
      </c>
      <c r="F41" s="178">
        <v>4841.905677</v>
      </c>
      <c r="G41" s="309">
        <v>8067.946215</v>
      </c>
      <c r="H41" s="309">
        <v>462.667</v>
      </c>
      <c r="I41" s="316"/>
      <c r="J41" s="316">
        <f>E41/D41</f>
        <v>0.13363298216230798</v>
      </c>
    </row>
    <row r="42" spans="1:10" ht="24.75" customHeight="1">
      <c r="A42" s="42" t="s">
        <v>170</v>
      </c>
      <c r="B42" s="43" t="s">
        <v>171</v>
      </c>
      <c r="C42" s="40"/>
      <c r="D42" s="40">
        <v>14119</v>
      </c>
      <c r="E42" s="309"/>
      <c r="F42" s="178"/>
      <c r="G42" s="309"/>
      <c r="H42" s="309"/>
      <c r="I42" s="316"/>
      <c r="J42" s="316"/>
    </row>
    <row r="43" spans="1:10" s="315" customFormat="1" ht="24.75" customHeight="1">
      <c r="A43" s="44" t="s">
        <v>52</v>
      </c>
      <c r="B43" s="45" t="s">
        <v>539</v>
      </c>
      <c r="C43" s="312">
        <v>1000</v>
      </c>
      <c r="D43" s="312">
        <v>1000</v>
      </c>
      <c r="E43" s="313">
        <f t="shared" si="4"/>
        <v>1000</v>
      </c>
      <c r="F43" s="175">
        <v>1000</v>
      </c>
      <c r="G43" s="313"/>
      <c r="H43" s="313"/>
      <c r="I43" s="314">
        <f>E43/C43</f>
        <v>1</v>
      </c>
      <c r="J43" s="314">
        <f>E43/D43</f>
        <v>1</v>
      </c>
    </row>
    <row r="44" spans="1:10" s="315" customFormat="1" ht="24.75" customHeight="1">
      <c r="A44" s="44" t="s">
        <v>66</v>
      </c>
      <c r="B44" s="45" t="s">
        <v>540</v>
      </c>
      <c r="C44" s="312">
        <v>132290</v>
      </c>
      <c r="D44" s="312">
        <v>132290</v>
      </c>
      <c r="E44" s="313">
        <f t="shared" si="4"/>
        <v>0</v>
      </c>
      <c r="F44" s="175"/>
      <c r="G44" s="313"/>
      <c r="H44" s="313"/>
      <c r="I44" s="314"/>
      <c r="J44" s="314"/>
    </row>
    <row r="45" spans="1:10" s="315" customFormat="1" ht="24.75" customHeight="1">
      <c r="A45" s="44" t="s">
        <v>575</v>
      </c>
      <c r="B45" s="45" t="s">
        <v>172</v>
      </c>
      <c r="C45" s="312"/>
      <c r="D45" s="312"/>
      <c r="E45" s="313">
        <f t="shared" si="4"/>
        <v>1771731.919738</v>
      </c>
      <c r="F45" s="313">
        <f>1270550.552321+17.278957</f>
        <v>1270567.831278</v>
      </c>
      <c r="G45" s="313">
        <v>419772.438406</v>
      </c>
      <c r="H45" s="313">
        <v>81391.650054</v>
      </c>
      <c r="I45" s="314"/>
      <c r="J45" s="314"/>
    </row>
    <row r="46" spans="1:10" ht="24.75" customHeight="1">
      <c r="A46" s="44" t="s">
        <v>46</v>
      </c>
      <c r="B46" s="45" t="s">
        <v>173</v>
      </c>
      <c r="C46" s="40"/>
      <c r="D46" s="40"/>
      <c r="E46" s="313">
        <f>SUM(E47:E48)</f>
        <v>5798024.501207</v>
      </c>
      <c r="F46" s="175">
        <f>SUM(F47:F48)</f>
        <v>4846685.484888</v>
      </c>
      <c r="G46" s="313">
        <f>SUM(G47:G48)</f>
        <v>951339.0163189999</v>
      </c>
      <c r="H46" s="313">
        <f>SUM(H47:H48)</f>
        <v>0</v>
      </c>
      <c r="I46" s="316"/>
      <c r="J46" s="316"/>
    </row>
    <row r="47" spans="1:10" ht="24.75" customHeight="1">
      <c r="A47" s="42">
        <v>1</v>
      </c>
      <c r="B47" s="43" t="s">
        <v>174</v>
      </c>
      <c r="C47" s="40"/>
      <c r="D47" s="40"/>
      <c r="E47" s="309">
        <f aca="true" t="shared" si="5" ref="E47:E52">SUM(F47:H47)</f>
        <v>4211427.571153</v>
      </c>
      <c r="F47" s="178">
        <v>3611094.151471</v>
      </c>
      <c r="G47" s="309">
        <v>600333.419682</v>
      </c>
      <c r="H47" s="309"/>
      <c r="I47" s="316"/>
      <c r="J47" s="316"/>
    </row>
    <row r="48" spans="1:10" ht="24.75" customHeight="1">
      <c r="A48" s="42">
        <v>2</v>
      </c>
      <c r="B48" s="43" t="s">
        <v>10</v>
      </c>
      <c r="C48" s="40"/>
      <c r="D48" s="40"/>
      <c r="E48" s="309">
        <f t="shared" si="5"/>
        <v>1586596.9300539996</v>
      </c>
      <c r="F48" s="178">
        <f>SUM(F49:F50)</f>
        <v>1235591.3334169998</v>
      </c>
      <c r="G48" s="309">
        <f>SUM(G49:G50)</f>
        <v>351005.596637</v>
      </c>
      <c r="H48" s="309"/>
      <c r="I48" s="316"/>
      <c r="J48" s="316"/>
    </row>
    <row r="49" spans="1:10" ht="24.75" customHeight="1">
      <c r="A49" s="632"/>
      <c r="B49" s="46" t="s">
        <v>175</v>
      </c>
      <c r="C49" s="633"/>
      <c r="D49" s="633"/>
      <c r="E49" s="309">
        <f>SUM(F49:H49)</f>
        <v>1425869.7520769997</v>
      </c>
      <c r="F49" s="178">
        <v>1135898.537382</v>
      </c>
      <c r="G49" s="178">
        <v>289971.214695</v>
      </c>
      <c r="H49" s="178"/>
      <c r="I49" s="316"/>
      <c r="J49" s="316"/>
    </row>
    <row r="50" spans="1:10" ht="24.75" customHeight="1">
      <c r="A50" s="632"/>
      <c r="B50" s="46" t="s">
        <v>176</v>
      </c>
      <c r="C50" s="634"/>
      <c r="D50" s="634"/>
      <c r="E50" s="309">
        <f t="shared" si="5"/>
        <v>160727.177977</v>
      </c>
      <c r="F50" s="178">
        <v>99692.796035</v>
      </c>
      <c r="G50" s="178">
        <f>56373.804935+4660.577007</f>
        <v>61034.381942</v>
      </c>
      <c r="H50" s="178"/>
      <c r="I50" s="316"/>
      <c r="J50" s="316"/>
    </row>
    <row r="51" spans="1:10" ht="24.75" customHeight="1">
      <c r="A51" s="44" t="s">
        <v>53</v>
      </c>
      <c r="B51" s="45" t="s">
        <v>177</v>
      </c>
      <c r="C51" s="40"/>
      <c r="D51" s="40"/>
      <c r="E51" s="313">
        <f t="shared" si="5"/>
        <v>173880.067562</v>
      </c>
      <c r="F51" s="175">
        <f>63264.355442+56368.969305</f>
        <v>119633.324747</v>
      </c>
      <c r="G51" s="313">
        <v>42212.458477</v>
      </c>
      <c r="H51" s="313">
        <v>12034.284338</v>
      </c>
      <c r="I51" s="316"/>
      <c r="J51" s="316"/>
    </row>
    <row r="52" spans="1:10" ht="24.75" customHeight="1">
      <c r="A52" s="329"/>
      <c r="B52" s="171" t="s">
        <v>178</v>
      </c>
      <c r="C52" s="330"/>
      <c r="D52" s="330"/>
      <c r="E52" s="331">
        <f t="shared" si="5"/>
        <v>16301058.682078</v>
      </c>
      <c r="F52" s="188">
        <f>SUM(F9,F46,F51)</f>
        <v>9622084.304457001</v>
      </c>
      <c r="G52" s="331">
        <f>SUM(G9,G46,G51)</f>
        <v>5619071.461445999</v>
      </c>
      <c r="H52" s="331">
        <f>SUM(H9,H46,H51)</f>
        <v>1059902.916175</v>
      </c>
      <c r="I52" s="332"/>
      <c r="J52" s="332"/>
    </row>
    <row r="53" ht="15.75">
      <c r="A53" s="333"/>
    </row>
    <row r="54" spans="1:11" s="335" customFormat="1" ht="15.75" customHeight="1">
      <c r="A54" s="628"/>
      <c r="B54" s="628"/>
      <c r="D54" s="628"/>
      <c r="E54" s="628"/>
      <c r="F54" s="628"/>
      <c r="G54" s="629"/>
      <c r="H54" s="629"/>
      <c r="I54" s="629"/>
      <c r="J54" s="629"/>
      <c r="K54" s="336"/>
    </row>
    <row r="55" spans="1:10" ht="29.25" customHeight="1">
      <c r="A55" s="630"/>
      <c r="B55" s="630"/>
      <c r="D55" s="630"/>
      <c r="E55" s="630"/>
      <c r="F55" s="630"/>
      <c r="G55" s="631"/>
      <c r="H55" s="631"/>
      <c r="I55" s="631"/>
      <c r="J55" s="631"/>
    </row>
    <row r="56" spans="1:10" ht="15.75">
      <c r="A56" s="627"/>
      <c r="B56" s="627"/>
      <c r="D56" s="627"/>
      <c r="E56" s="627"/>
      <c r="F56" s="627"/>
      <c r="H56" s="627"/>
      <c r="I56" s="627"/>
      <c r="J56" s="627"/>
    </row>
    <row r="57" spans="1:10" ht="15.75">
      <c r="A57" s="337"/>
      <c r="B57" s="337"/>
      <c r="D57" s="337"/>
      <c r="E57" s="337"/>
      <c r="F57" s="337"/>
      <c r="H57" s="337"/>
      <c r="I57" s="337"/>
      <c r="J57" s="337"/>
    </row>
    <row r="58" spans="1:10" ht="15.75">
      <c r="A58" s="337"/>
      <c r="B58" s="337"/>
      <c r="D58" s="337"/>
      <c r="E58" s="337"/>
      <c r="F58" s="337"/>
      <c r="H58" s="337"/>
      <c r="I58" s="337"/>
      <c r="J58" s="337"/>
    </row>
    <row r="59" spans="1:10" ht="26.25" customHeight="1">
      <c r="A59" s="337"/>
      <c r="B59" s="337"/>
      <c r="D59" s="337"/>
      <c r="E59" s="337"/>
      <c r="F59" s="337"/>
      <c r="H59" s="337"/>
      <c r="I59" s="337"/>
      <c r="J59" s="337"/>
    </row>
    <row r="60" spans="1:8" ht="15.75">
      <c r="A60" s="338"/>
      <c r="F60" s="320"/>
      <c r="G60" s="320"/>
      <c r="H60" s="320"/>
    </row>
    <row r="61" ht="15.75">
      <c r="A61" s="339"/>
    </row>
    <row r="62" ht="15.75">
      <c r="A62" s="339"/>
    </row>
    <row r="63" ht="15.75">
      <c r="A63" s="339"/>
    </row>
  </sheetData>
  <sheetProtection/>
  <mergeCells count="22">
    <mergeCell ref="A1:B1"/>
    <mergeCell ref="A2:B2"/>
    <mergeCell ref="A3:J3"/>
    <mergeCell ref="I6:J6"/>
    <mergeCell ref="E6:H6"/>
    <mergeCell ref="H1:J1"/>
    <mergeCell ref="A4:J4"/>
    <mergeCell ref="A49:A50"/>
    <mergeCell ref="C49:C50"/>
    <mergeCell ref="D49:D50"/>
    <mergeCell ref="A6:A7"/>
    <mergeCell ref="B6:B7"/>
    <mergeCell ref="C6:D6"/>
    <mergeCell ref="A56:B56"/>
    <mergeCell ref="D56:F56"/>
    <mergeCell ref="H56:J56"/>
    <mergeCell ref="A54:B54"/>
    <mergeCell ref="D54:F54"/>
    <mergeCell ref="G54:J54"/>
    <mergeCell ref="A55:B55"/>
    <mergeCell ref="D55:F55"/>
    <mergeCell ref="G55:J55"/>
  </mergeCells>
  <printOptions horizontalCentered="1"/>
  <pageMargins left="0" right="0" top="0" bottom="0" header="0.31496062992126" footer="0.31496062992126"/>
  <pageSetup horizontalDpi="300" verticalDpi="300" orientation="landscape" paperSize="9" scale="70" r:id="rId1"/>
</worksheet>
</file>

<file path=xl/worksheets/sheet8.xml><?xml version="1.0" encoding="utf-8"?>
<worksheet xmlns="http://schemas.openxmlformats.org/spreadsheetml/2006/main" xmlns:r="http://schemas.openxmlformats.org/officeDocument/2006/relationships">
  <dimension ref="A1:J44"/>
  <sheetViews>
    <sheetView zoomScalePageLayoutView="0" workbookViewId="0" topLeftCell="A1">
      <pane xSplit="2" ySplit="7" topLeftCell="C33" activePane="bottomRight" state="frozen"/>
      <selection pane="topLeft" activeCell="A1" sqref="A1"/>
      <selection pane="topRight" activeCell="C1" sqref="C1"/>
      <selection pane="bottomLeft" activeCell="A8" sqref="A8"/>
      <selection pane="bottomRight" activeCell="B28" sqref="B28"/>
    </sheetView>
  </sheetViews>
  <sheetFormatPr defaultColWidth="9.00390625" defaultRowHeight="14.25"/>
  <cols>
    <col min="1" max="1" width="6.25390625" style="0" customWidth="1"/>
    <col min="2" max="2" width="45.375" style="0" customWidth="1"/>
    <col min="3" max="3" width="13.625" style="0" customWidth="1"/>
    <col min="4" max="4" width="20.625" style="0" customWidth="1"/>
    <col min="5" max="5" width="16.25390625" style="0" customWidth="1"/>
    <col min="6" max="6" width="12.125" style="0" customWidth="1"/>
    <col min="8" max="8" width="12.75390625" style="0" bestFit="1" customWidth="1"/>
    <col min="9" max="9" width="15.875" style="0" customWidth="1"/>
  </cols>
  <sheetData>
    <row r="1" ht="15.75">
      <c r="F1" s="1" t="s">
        <v>317</v>
      </c>
    </row>
    <row r="2" spans="1:6" ht="43.5" customHeight="1">
      <c r="A2" s="640" t="s">
        <v>644</v>
      </c>
      <c r="B2" s="640"/>
      <c r="C2" s="640"/>
      <c r="D2" s="640"/>
      <c r="E2" s="640"/>
      <c r="F2" s="640"/>
    </row>
    <row r="3" spans="1:10" ht="18.75">
      <c r="A3" s="618" t="s">
        <v>680</v>
      </c>
      <c r="B3" s="618"/>
      <c r="C3" s="618"/>
      <c r="D3" s="618"/>
      <c r="E3" s="618"/>
      <c r="F3" s="618"/>
      <c r="G3" s="558"/>
      <c r="H3" s="558"/>
      <c r="I3" s="558"/>
      <c r="J3" s="558"/>
    </row>
    <row r="4" ht="15.75">
      <c r="F4" s="2" t="s">
        <v>48</v>
      </c>
    </row>
    <row r="5" spans="1:6" ht="15.75">
      <c r="A5" s="642" t="s">
        <v>43</v>
      </c>
      <c r="B5" s="642" t="s">
        <v>81</v>
      </c>
      <c r="C5" s="642" t="s">
        <v>314</v>
      </c>
      <c r="D5" s="642" t="s">
        <v>4</v>
      </c>
      <c r="E5" s="642" t="s">
        <v>533</v>
      </c>
      <c r="F5" s="642"/>
    </row>
    <row r="6" spans="1:6" ht="31.5">
      <c r="A6" s="642"/>
      <c r="B6" s="642"/>
      <c r="C6" s="642"/>
      <c r="D6" s="642"/>
      <c r="E6" s="4" t="s">
        <v>534</v>
      </c>
      <c r="F6" s="4" t="s">
        <v>571</v>
      </c>
    </row>
    <row r="7" spans="1:6" s="5" customFormat="1" ht="15.75">
      <c r="A7" s="3" t="s">
        <v>45</v>
      </c>
      <c r="B7" s="3" t="s">
        <v>46</v>
      </c>
      <c r="C7" s="3">
        <v>1</v>
      </c>
      <c r="D7" s="3">
        <v>2</v>
      </c>
      <c r="E7" s="3" t="s">
        <v>556</v>
      </c>
      <c r="F7" s="3" t="s">
        <v>557</v>
      </c>
    </row>
    <row r="8" spans="1:8" ht="15.75">
      <c r="A8" s="8" t="s">
        <v>45</v>
      </c>
      <c r="B8" s="9" t="s">
        <v>535</v>
      </c>
      <c r="C8" s="16">
        <f>SUM(C9,C12,C15,C16,C17)</f>
        <v>7779883</v>
      </c>
      <c r="D8" s="147">
        <f>SUM(D9,D12,D15,D16,D1,D17,D18,D198,D19)</f>
        <v>10702076.522550998</v>
      </c>
      <c r="E8" s="147">
        <f>D8-C8</f>
        <v>2922193.5225509983</v>
      </c>
      <c r="F8" s="148">
        <f>D8/C8</f>
        <v>1.3756089291511193</v>
      </c>
      <c r="H8" s="19">
        <f>D8-D20</f>
        <v>199042.3421079982</v>
      </c>
    </row>
    <row r="9" spans="1:8" ht="15.75">
      <c r="A9" s="10" t="s">
        <v>54</v>
      </c>
      <c r="B9" s="11" t="s">
        <v>558</v>
      </c>
      <c r="C9" s="49">
        <f>SUM(C10:C11)</f>
        <v>947500</v>
      </c>
      <c r="D9" s="30">
        <f>SUM(D10:D11)</f>
        <v>983166.072494</v>
      </c>
      <c r="E9" s="30">
        <f aca="true" t="shared" si="0" ref="E9:E43">D9-C9</f>
        <v>35666.07249399996</v>
      </c>
      <c r="F9" s="28">
        <f aca="true" t="shared" si="1" ref="F9:F14">D9/C9</f>
        <v>1.037642292869657</v>
      </c>
      <c r="H9" s="19">
        <f>H8+D37</f>
        <v>206423.07210799822</v>
      </c>
    </row>
    <row r="10" spans="1:8" ht="15.75">
      <c r="A10" s="12" t="s">
        <v>47</v>
      </c>
      <c r="B10" s="13" t="s">
        <v>559</v>
      </c>
      <c r="C10" s="168">
        <v>408703</v>
      </c>
      <c r="D10" s="27">
        <v>539404.367824</v>
      </c>
      <c r="E10" s="27">
        <f t="shared" si="0"/>
        <v>130701.36782399996</v>
      </c>
      <c r="F10" s="31">
        <f t="shared" si="1"/>
        <v>1.3197954696295353</v>
      </c>
      <c r="H10" s="19">
        <f>H9-D36</f>
        <v>5372.573107998207</v>
      </c>
    </row>
    <row r="11" spans="1:8" ht="15.75">
      <c r="A11" s="12" t="s">
        <v>47</v>
      </c>
      <c r="B11" s="13" t="s">
        <v>560</v>
      </c>
      <c r="C11" s="48">
        <v>538797</v>
      </c>
      <c r="D11" s="27">
        <v>443761.70467</v>
      </c>
      <c r="E11" s="27">
        <f>D11-C11</f>
        <v>-95035.29533</v>
      </c>
      <c r="F11" s="31">
        <f t="shared" si="1"/>
        <v>0.8236157674782896</v>
      </c>
      <c r="H11" s="19">
        <f>C8-C20</f>
        <v>127861</v>
      </c>
    </row>
    <row r="12" spans="1:6" ht="15.75">
      <c r="A12" s="10" t="s">
        <v>50</v>
      </c>
      <c r="B12" s="11" t="s">
        <v>5</v>
      </c>
      <c r="C12" s="30">
        <f>SUM(C13:C14)</f>
        <v>6832383</v>
      </c>
      <c r="D12" s="30">
        <f>SUM(D13:D14)</f>
        <v>8150131.942152</v>
      </c>
      <c r="E12" s="30">
        <f t="shared" si="0"/>
        <v>1317748.942152</v>
      </c>
      <c r="F12" s="28">
        <f t="shared" si="1"/>
        <v>1.1928681313901752</v>
      </c>
    </row>
    <row r="13" spans="1:6" ht="15.75">
      <c r="A13" s="12">
        <v>1</v>
      </c>
      <c r="B13" s="13" t="s">
        <v>536</v>
      </c>
      <c r="C13" s="27">
        <v>5666899</v>
      </c>
      <c r="D13" s="150">
        <v>5666899</v>
      </c>
      <c r="E13" s="27">
        <f t="shared" si="0"/>
        <v>0</v>
      </c>
      <c r="F13" s="31">
        <f t="shared" si="1"/>
        <v>1</v>
      </c>
    </row>
    <row r="14" spans="1:6" ht="15.75">
      <c r="A14" s="12">
        <v>2</v>
      </c>
      <c r="B14" s="13" t="s">
        <v>55</v>
      </c>
      <c r="C14" s="27">
        <v>1165484</v>
      </c>
      <c r="D14" s="27">
        <v>2483232.942152</v>
      </c>
      <c r="E14" s="27">
        <f t="shared" si="0"/>
        <v>1317748.942152</v>
      </c>
      <c r="F14" s="31">
        <f t="shared" si="1"/>
        <v>2.1306452445095774</v>
      </c>
    </row>
    <row r="15" spans="1:6" ht="15.75">
      <c r="A15" s="10" t="s">
        <v>51</v>
      </c>
      <c r="B15" s="11" t="s">
        <v>537</v>
      </c>
      <c r="C15" s="27"/>
      <c r="D15" s="30"/>
      <c r="E15" s="30">
        <f t="shared" si="0"/>
        <v>0</v>
      </c>
      <c r="F15" s="31"/>
    </row>
    <row r="16" spans="1:6" ht="15.75">
      <c r="A16" s="10" t="s">
        <v>52</v>
      </c>
      <c r="B16" s="11" t="s">
        <v>551</v>
      </c>
      <c r="C16" s="27"/>
      <c r="D16" s="30">
        <v>3688.605115</v>
      </c>
      <c r="E16" s="30">
        <f t="shared" si="0"/>
        <v>3688.605115</v>
      </c>
      <c r="F16" s="31"/>
    </row>
    <row r="17" spans="1:6" ht="15.75">
      <c r="A17" s="10" t="s">
        <v>66</v>
      </c>
      <c r="B17" s="11" t="s">
        <v>538</v>
      </c>
      <c r="C17" s="27"/>
      <c r="D17" s="30">
        <v>1491470.718</v>
      </c>
      <c r="E17" s="30">
        <f t="shared" si="0"/>
        <v>1491470.718</v>
      </c>
      <c r="F17" s="31"/>
    </row>
    <row r="18" spans="1:6" ht="15.75">
      <c r="A18" s="10" t="s">
        <v>575</v>
      </c>
      <c r="B18" s="11" t="s">
        <v>570</v>
      </c>
      <c r="C18" s="27"/>
      <c r="D18" s="30">
        <v>19372.441975</v>
      </c>
      <c r="E18" s="30">
        <f t="shared" si="0"/>
        <v>19372.441975</v>
      </c>
      <c r="F18" s="31"/>
    </row>
    <row r="19" spans="1:6" ht="15.75">
      <c r="A19" s="10" t="s">
        <v>316</v>
      </c>
      <c r="B19" s="11" t="s">
        <v>337</v>
      </c>
      <c r="C19" s="27"/>
      <c r="D19" s="30">
        <v>54246.742815</v>
      </c>
      <c r="E19" s="30">
        <f t="shared" si="0"/>
        <v>54246.742815</v>
      </c>
      <c r="F19" s="31"/>
    </row>
    <row r="20" spans="1:8" ht="15.75">
      <c r="A20" s="10" t="s">
        <v>46</v>
      </c>
      <c r="B20" s="11" t="s">
        <v>57</v>
      </c>
      <c r="C20" s="30">
        <f>SUM(C21,C28,C31)</f>
        <v>7652022</v>
      </c>
      <c r="D20" s="30">
        <f>SUM(D21,D28,D31,D32,D33)</f>
        <v>10503034.180443</v>
      </c>
      <c r="E20" s="30">
        <f t="shared" si="0"/>
        <v>2851012.180443</v>
      </c>
      <c r="F20" s="28">
        <f>D20/C20</f>
        <v>1.3725828520151928</v>
      </c>
      <c r="H20" s="19">
        <f>D20-D33</f>
        <v>10329154.112881</v>
      </c>
    </row>
    <row r="21" spans="1:9" ht="15.75">
      <c r="A21" s="10" t="s">
        <v>54</v>
      </c>
      <c r="B21" s="11" t="s">
        <v>6</v>
      </c>
      <c r="C21" s="30">
        <f>SUM(C22:C27)</f>
        <v>6486538</v>
      </c>
      <c r="D21" s="30">
        <f>SUM(D22:D27)</f>
        <v>7019952.70625</v>
      </c>
      <c r="E21" s="30">
        <f t="shared" si="0"/>
        <v>533414.7062499998</v>
      </c>
      <c r="F21" s="28">
        <f aca="true" t="shared" si="2" ref="F21:F30">D21/C21</f>
        <v>1.0822341141376186</v>
      </c>
      <c r="I21" s="19"/>
    </row>
    <row r="22" spans="1:6" ht="15.75">
      <c r="A22" s="12">
        <v>1</v>
      </c>
      <c r="B22" s="13" t="s">
        <v>561</v>
      </c>
      <c r="C22" s="27">
        <v>607852</v>
      </c>
      <c r="D22" s="27">
        <v>667664.64</v>
      </c>
      <c r="E22" s="27">
        <f t="shared" si="0"/>
        <v>59812.640000000014</v>
      </c>
      <c r="F22" s="31">
        <f t="shared" si="2"/>
        <v>1.0984000052644394</v>
      </c>
    </row>
    <row r="23" spans="1:9" ht="15.75">
      <c r="A23" s="12">
        <v>2</v>
      </c>
      <c r="B23" s="13" t="s">
        <v>58</v>
      </c>
      <c r="C23" s="27">
        <f>5741579-14119</f>
        <v>5727460</v>
      </c>
      <c r="D23" s="27">
        <v>6349606.838627</v>
      </c>
      <c r="E23" s="27">
        <f t="shared" si="0"/>
        <v>622146.8386270003</v>
      </c>
      <c r="F23" s="31">
        <f t="shared" si="2"/>
        <v>1.1086252612199823</v>
      </c>
      <c r="I23" s="19"/>
    </row>
    <row r="24" spans="1:6" ht="15.75">
      <c r="A24" s="12">
        <v>3</v>
      </c>
      <c r="B24" s="13" t="s">
        <v>59</v>
      </c>
      <c r="C24" s="27">
        <v>3817</v>
      </c>
      <c r="D24" s="27">
        <v>1681.227623</v>
      </c>
      <c r="E24" s="27">
        <f t="shared" si="0"/>
        <v>-2135.7723770000002</v>
      </c>
      <c r="F24" s="31">
        <f t="shared" si="2"/>
        <v>0.4404578525019649</v>
      </c>
    </row>
    <row r="25" spans="1:6" ht="15.75">
      <c r="A25" s="12">
        <v>4</v>
      </c>
      <c r="B25" s="13" t="s">
        <v>539</v>
      </c>
      <c r="C25" s="27">
        <v>1000</v>
      </c>
      <c r="D25" s="27">
        <v>1000</v>
      </c>
      <c r="E25" s="27">
        <f t="shared" si="0"/>
        <v>0</v>
      </c>
      <c r="F25" s="31">
        <f t="shared" si="2"/>
        <v>1</v>
      </c>
    </row>
    <row r="26" spans="1:6" ht="15.75">
      <c r="A26" s="12">
        <v>5</v>
      </c>
      <c r="B26" s="13" t="s">
        <v>540</v>
      </c>
      <c r="C26" s="27">
        <v>132290</v>
      </c>
      <c r="D26" s="27"/>
      <c r="E26" s="27">
        <f t="shared" si="0"/>
        <v>-132290</v>
      </c>
      <c r="F26" s="31">
        <f t="shared" si="2"/>
        <v>0</v>
      </c>
    </row>
    <row r="27" spans="1:6" ht="15.75">
      <c r="A27" s="12">
        <v>6</v>
      </c>
      <c r="B27" s="13" t="s">
        <v>60</v>
      </c>
      <c r="C27" s="27">
        <v>14119</v>
      </c>
      <c r="D27" s="27"/>
      <c r="E27" s="27">
        <f t="shared" si="0"/>
        <v>-14119</v>
      </c>
      <c r="F27" s="31">
        <f t="shared" si="2"/>
        <v>0</v>
      </c>
    </row>
    <row r="28" spans="1:6" ht="15.75">
      <c r="A28" s="10" t="s">
        <v>50</v>
      </c>
      <c r="B28" s="11" t="s">
        <v>541</v>
      </c>
      <c r="C28" s="30">
        <f>SUM(C29:C30)</f>
        <v>1165484</v>
      </c>
      <c r="D28" s="30">
        <f>SUM(D29:D30)</f>
        <v>1537469.486893</v>
      </c>
      <c r="E28" s="30">
        <f t="shared" si="0"/>
        <v>371985.4868930001</v>
      </c>
      <c r="F28" s="28">
        <f t="shared" si="2"/>
        <v>1.3191682484641574</v>
      </c>
    </row>
    <row r="29" spans="1:6" ht="15.75">
      <c r="A29" s="12">
        <v>1</v>
      </c>
      <c r="B29" s="13" t="s">
        <v>542</v>
      </c>
      <c r="C29" s="27">
        <v>544519</v>
      </c>
      <c r="D29" s="27">
        <v>544571.690136</v>
      </c>
      <c r="E29" s="27">
        <f t="shared" si="0"/>
        <v>52.69013600004837</v>
      </c>
      <c r="F29" s="31">
        <f t="shared" si="2"/>
        <v>1.0000967645499974</v>
      </c>
    </row>
    <row r="30" spans="1:6" ht="15.75">
      <c r="A30" s="12">
        <v>2</v>
      </c>
      <c r="B30" s="13" t="s">
        <v>543</v>
      </c>
      <c r="C30" s="27">
        <v>620965</v>
      </c>
      <c r="D30" s="27">
        <v>992897.796757</v>
      </c>
      <c r="E30" s="27">
        <f t="shared" si="0"/>
        <v>371932.79675700003</v>
      </c>
      <c r="F30" s="31">
        <f t="shared" si="2"/>
        <v>1.5989593564162232</v>
      </c>
    </row>
    <row r="31" spans="1:6" ht="15.75">
      <c r="A31" s="10" t="s">
        <v>51</v>
      </c>
      <c r="B31" s="11" t="s">
        <v>544</v>
      </c>
      <c r="C31" s="27"/>
      <c r="D31" s="30">
        <v>1771731.919738</v>
      </c>
      <c r="E31" s="30">
        <f t="shared" si="0"/>
        <v>1771731.919738</v>
      </c>
      <c r="F31" s="31"/>
    </row>
    <row r="32" spans="1:6" ht="15.75" hidden="1">
      <c r="A32" s="10" t="s">
        <v>52</v>
      </c>
      <c r="B32" s="11" t="s">
        <v>555</v>
      </c>
      <c r="C32" s="27"/>
      <c r="D32" s="30"/>
      <c r="E32" s="30">
        <f t="shared" si="0"/>
        <v>0</v>
      </c>
      <c r="F32" s="31"/>
    </row>
    <row r="33" spans="1:6" ht="15.75">
      <c r="A33" s="10" t="s">
        <v>52</v>
      </c>
      <c r="B33" s="11" t="s">
        <v>580</v>
      </c>
      <c r="C33" s="27"/>
      <c r="D33" s="30">
        <v>173880.067562</v>
      </c>
      <c r="E33" s="30">
        <f t="shared" si="0"/>
        <v>173880.067562</v>
      </c>
      <c r="F33" s="31"/>
    </row>
    <row r="34" spans="1:6" ht="15.75">
      <c r="A34" s="10" t="s">
        <v>53</v>
      </c>
      <c r="B34" s="11" t="s">
        <v>266</v>
      </c>
      <c r="C34" s="30">
        <f>SUM(C35:C35)</f>
        <v>127861</v>
      </c>
      <c r="D34" s="30">
        <f>SUM(D35:D35)</f>
        <v>140869.769259</v>
      </c>
      <c r="E34" s="30">
        <f>SUM(E35:E35)</f>
        <v>13008.769258999993</v>
      </c>
      <c r="F34" s="28">
        <f>SUM(F35:F35)</f>
        <v>1.101741494740382</v>
      </c>
    </row>
    <row r="35" spans="1:6" s="17" customFormat="1" ht="15.75">
      <c r="A35" s="12"/>
      <c r="B35" s="13" t="s">
        <v>336</v>
      </c>
      <c r="C35" s="27">
        <v>127861</v>
      </c>
      <c r="D35" s="27">
        <v>140869.769259</v>
      </c>
      <c r="E35" s="27">
        <f>D35-C35</f>
        <v>13008.769258999993</v>
      </c>
      <c r="F35" s="31">
        <f>D35/C35</f>
        <v>1.101741494740382</v>
      </c>
    </row>
    <row r="36" spans="1:6" ht="15.75">
      <c r="A36" s="10" t="s">
        <v>56</v>
      </c>
      <c r="B36" s="11" t="s">
        <v>7</v>
      </c>
      <c r="C36" s="30">
        <f>SUM(C37:C38)</f>
        <v>149251</v>
      </c>
      <c r="D36" s="30">
        <f>SUM(D37:D39)</f>
        <v>201050.499</v>
      </c>
      <c r="E36" s="30">
        <f t="shared" si="0"/>
        <v>51799.49900000001</v>
      </c>
      <c r="F36" s="31">
        <f aca="true" t="shared" si="3" ref="F36:F43">D36/C36</f>
        <v>1.3470629945528003</v>
      </c>
    </row>
    <row r="37" spans="1:6" s="18" customFormat="1" ht="15.75">
      <c r="A37" s="10" t="s">
        <v>54</v>
      </c>
      <c r="B37" s="11" t="s">
        <v>63</v>
      </c>
      <c r="C37" s="30">
        <v>20390</v>
      </c>
      <c r="D37" s="30">
        <v>7380.73</v>
      </c>
      <c r="E37" s="30">
        <f t="shared" si="0"/>
        <v>-13009.27</v>
      </c>
      <c r="F37" s="31">
        <f t="shared" si="3"/>
        <v>0.3619779303580186</v>
      </c>
    </row>
    <row r="38" spans="1:6" s="18" customFormat="1" ht="15.75">
      <c r="A38" s="10" t="s">
        <v>50</v>
      </c>
      <c r="B38" s="11" t="s">
        <v>361</v>
      </c>
      <c r="C38" s="30">
        <v>128861</v>
      </c>
      <c r="D38" s="30">
        <f>140869.769</f>
        <v>140869.769</v>
      </c>
      <c r="E38" s="30">
        <f t="shared" si="0"/>
        <v>12008.769</v>
      </c>
      <c r="F38" s="31">
        <f t="shared" si="3"/>
        <v>1.0931916483652928</v>
      </c>
    </row>
    <row r="39" spans="1:6" s="18" customFormat="1" ht="15.75">
      <c r="A39" s="10" t="s">
        <v>51</v>
      </c>
      <c r="B39" s="11" t="s">
        <v>362</v>
      </c>
      <c r="C39" s="30"/>
      <c r="D39" s="30">
        <v>52800</v>
      </c>
      <c r="E39" s="30">
        <f t="shared" si="0"/>
        <v>52800</v>
      </c>
      <c r="F39" s="31"/>
    </row>
    <row r="40" spans="1:6" ht="15.75">
      <c r="A40" s="10" t="s">
        <v>61</v>
      </c>
      <c r="B40" s="11" t="s">
        <v>562</v>
      </c>
      <c r="C40" s="30">
        <f>SUM(C41:C42)</f>
        <v>20390</v>
      </c>
      <c r="D40" s="30">
        <f>SUM(D41:D42)</f>
        <v>7380.730945</v>
      </c>
      <c r="E40" s="27">
        <f t="shared" si="0"/>
        <v>-13009.269055</v>
      </c>
      <c r="F40" s="31">
        <f t="shared" si="3"/>
        <v>0.3619779767042668</v>
      </c>
    </row>
    <row r="41" spans="1:6" ht="15.75">
      <c r="A41" s="10" t="s">
        <v>54</v>
      </c>
      <c r="B41" s="11" t="s">
        <v>64</v>
      </c>
      <c r="C41" s="27"/>
      <c r="D41" s="27"/>
      <c r="E41" s="27">
        <f t="shared" si="0"/>
        <v>0</v>
      </c>
      <c r="F41" s="31"/>
    </row>
    <row r="42" spans="1:6" ht="15.75">
      <c r="A42" s="10" t="s">
        <v>50</v>
      </c>
      <c r="B42" s="11" t="s">
        <v>65</v>
      </c>
      <c r="C42" s="27">
        <v>20390</v>
      </c>
      <c r="D42" s="151">
        <v>7380.730945</v>
      </c>
      <c r="E42" s="27">
        <f t="shared" si="0"/>
        <v>-13009.269055</v>
      </c>
      <c r="F42" s="31">
        <f t="shared" si="3"/>
        <v>0.3619779767042668</v>
      </c>
    </row>
    <row r="43" spans="1:6" ht="31.5">
      <c r="A43" s="14" t="s">
        <v>62</v>
      </c>
      <c r="B43" s="15" t="s">
        <v>8</v>
      </c>
      <c r="C43" s="167">
        <v>367159</v>
      </c>
      <c r="D43" s="167">
        <v>327932</v>
      </c>
      <c r="E43" s="167">
        <f t="shared" si="0"/>
        <v>-39227</v>
      </c>
      <c r="F43" s="31">
        <f t="shared" si="3"/>
        <v>0.8931607287306045</v>
      </c>
    </row>
    <row r="44" spans="1:6" ht="60" customHeight="1">
      <c r="A44" s="641"/>
      <c r="B44" s="641"/>
      <c r="C44" s="641"/>
      <c r="D44" s="641"/>
      <c r="E44" s="641"/>
      <c r="F44" s="641"/>
    </row>
  </sheetData>
  <sheetProtection/>
  <mergeCells count="8">
    <mergeCell ref="A2:F2"/>
    <mergeCell ref="A44:F44"/>
    <mergeCell ref="A5:A6"/>
    <mergeCell ref="B5:B6"/>
    <mergeCell ref="C5:C6"/>
    <mergeCell ref="D5:D6"/>
    <mergeCell ref="E5:F5"/>
    <mergeCell ref="A3:F3"/>
  </mergeCells>
  <printOptions horizontalCentered="1"/>
  <pageMargins left="0" right="0" top="0.511811023622047" bottom="0" header="0.31496062992126" footer="0.31496062992126"/>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H52"/>
  <sheetViews>
    <sheetView zoomScalePageLayoutView="0" workbookViewId="0" topLeftCell="A1">
      <pane xSplit="2" ySplit="5" topLeftCell="C12" activePane="bottomRight" state="frozen"/>
      <selection pane="topLeft" activeCell="A1" sqref="A1"/>
      <selection pane="topRight" activeCell="C1" sqref="C1"/>
      <selection pane="bottomLeft" activeCell="A6" sqref="A6"/>
      <selection pane="bottomRight" activeCell="A3" sqref="A3:E3"/>
    </sheetView>
  </sheetViews>
  <sheetFormatPr defaultColWidth="9.00390625" defaultRowHeight="14.25"/>
  <cols>
    <col min="1" max="1" width="6.375" style="340" customWidth="1"/>
    <col min="2" max="2" width="47.125" style="340" customWidth="1"/>
    <col min="3" max="3" width="19.875" style="340" customWidth="1"/>
    <col min="4" max="4" width="21.625" style="340" customWidth="1"/>
    <col min="5" max="5" width="21.875" style="340" customWidth="1"/>
    <col min="6" max="6" width="9.00390625" style="340" customWidth="1"/>
    <col min="7" max="7" width="19.25390625" style="340" customWidth="1"/>
    <col min="8" max="8" width="16.125" style="340" customWidth="1"/>
    <col min="9" max="16384" width="9.00390625" style="340" customWidth="1"/>
  </cols>
  <sheetData>
    <row r="1" ht="15.75">
      <c r="E1" s="334" t="s">
        <v>318</v>
      </c>
    </row>
    <row r="2" spans="1:5" ht="40.5" customHeight="1">
      <c r="A2" s="643" t="s">
        <v>681</v>
      </c>
      <c r="B2" s="643"/>
      <c r="C2" s="643"/>
      <c r="D2" s="643"/>
      <c r="E2" s="643"/>
    </row>
    <row r="3" spans="1:6" ht="23.25" customHeight="1">
      <c r="A3" s="618" t="s">
        <v>680</v>
      </c>
      <c r="B3" s="618"/>
      <c r="C3" s="618"/>
      <c r="D3" s="618"/>
      <c r="E3" s="618"/>
      <c r="F3" s="558"/>
    </row>
    <row r="4" spans="5:8" ht="15.75">
      <c r="E4" s="294" t="s">
        <v>48</v>
      </c>
      <c r="H4" s="341"/>
    </row>
    <row r="5" spans="1:5" ht="32.25" customHeight="1">
      <c r="A5" s="41" t="s">
        <v>43</v>
      </c>
      <c r="B5" s="41" t="s">
        <v>44</v>
      </c>
      <c r="C5" s="41" t="s">
        <v>314</v>
      </c>
      <c r="D5" s="41" t="s">
        <v>4</v>
      </c>
      <c r="E5" s="41" t="s">
        <v>563</v>
      </c>
    </row>
    <row r="6" spans="1:5" ht="15.75">
      <c r="A6" s="41" t="s">
        <v>45</v>
      </c>
      <c r="B6" s="41" t="s">
        <v>46</v>
      </c>
      <c r="C6" s="41">
        <v>1</v>
      </c>
      <c r="D6" s="41">
        <v>2</v>
      </c>
      <c r="E6" s="41">
        <v>3</v>
      </c>
    </row>
    <row r="7" spans="1:8" ht="15.75">
      <c r="A7" s="342" t="s">
        <v>45</v>
      </c>
      <c r="B7" s="65" t="s">
        <v>338</v>
      </c>
      <c r="C7" s="343"/>
      <c r="D7" s="343"/>
      <c r="E7" s="344"/>
      <c r="H7" s="345"/>
    </row>
    <row r="8" spans="1:7" ht="15.75">
      <c r="A8" s="296" t="s">
        <v>591</v>
      </c>
      <c r="B8" s="297" t="s">
        <v>592</v>
      </c>
      <c r="C8" s="299">
        <f>SUM(C9,C19)</f>
        <v>7354973</v>
      </c>
      <c r="D8" s="299">
        <f>SUM(D9,D19)</f>
        <v>9823169.131501</v>
      </c>
      <c r="E8" s="346">
        <f aca="true" t="shared" si="0" ref="E8:E13">D8/C8</f>
        <v>1.3355819431969362</v>
      </c>
      <c r="G8" s="341"/>
    </row>
    <row r="9" spans="1:7" ht="15.75">
      <c r="A9" s="301" t="s">
        <v>54</v>
      </c>
      <c r="B9" s="302" t="s">
        <v>548</v>
      </c>
      <c r="C9" s="304">
        <f>SUM(C10:C11,C14:C18)</f>
        <v>7334583</v>
      </c>
      <c r="D9" s="304">
        <f>SUM(D10:D11,D14:D18)</f>
        <v>9815788.400556</v>
      </c>
      <c r="E9" s="347">
        <f t="shared" si="0"/>
        <v>1.338288543541739</v>
      </c>
      <c r="G9" s="341"/>
    </row>
    <row r="10" spans="1:5" ht="15.75">
      <c r="A10" s="306">
        <v>1</v>
      </c>
      <c r="B10" s="307" t="s">
        <v>549</v>
      </c>
      <c r="C10" s="48">
        <v>502200</v>
      </c>
      <c r="D10" s="48">
        <f>302085.032305+238659.333278</f>
        <v>540744.365583</v>
      </c>
      <c r="E10" s="348">
        <f t="shared" si="0"/>
        <v>1.0767510266487454</v>
      </c>
    </row>
    <row r="11" spans="1:5" ht="15.75">
      <c r="A11" s="306">
        <v>2</v>
      </c>
      <c r="B11" s="307" t="s">
        <v>550</v>
      </c>
      <c r="C11" s="48">
        <f>SUM(C12:C13)</f>
        <v>6832383</v>
      </c>
      <c r="D11" s="48">
        <f>SUM(D12:D13)</f>
        <v>8150131.942152</v>
      </c>
      <c r="E11" s="348">
        <f t="shared" si="0"/>
        <v>1.1928681313901752</v>
      </c>
    </row>
    <row r="12" spans="1:5" ht="15.75">
      <c r="A12" s="306" t="s">
        <v>47</v>
      </c>
      <c r="B12" s="307" t="s">
        <v>9</v>
      </c>
      <c r="C12" s="48">
        <v>5666899</v>
      </c>
      <c r="D12" s="48">
        <v>5666899</v>
      </c>
      <c r="E12" s="348">
        <f t="shared" si="0"/>
        <v>1</v>
      </c>
    </row>
    <row r="13" spans="1:5" ht="15.75">
      <c r="A13" s="306" t="s">
        <v>47</v>
      </c>
      <c r="B13" s="307" t="s">
        <v>10</v>
      </c>
      <c r="C13" s="48">
        <v>1165484</v>
      </c>
      <c r="D13" s="48">
        <v>2483232.942152</v>
      </c>
      <c r="E13" s="348">
        <f t="shared" si="0"/>
        <v>2.1306452445095774</v>
      </c>
    </row>
    <row r="14" spans="1:5" ht="15.75">
      <c r="A14" s="306">
        <v>3</v>
      </c>
      <c r="B14" s="307" t="s">
        <v>341</v>
      </c>
      <c r="C14" s="48"/>
      <c r="D14" s="48"/>
      <c r="E14" s="348"/>
    </row>
    <row r="15" spans="1:5" ht="15.75">
      <c r="A15" s="306">
        <v>4</v>
      </c>
      <c r="B15" s="307" t="s">
        <v>551</v>
      </c>
      <c r="C15" s="48"/>
      <c r="D15" s="48">
        <v>11.279132</v>
      </c>
      <c r="E15" s="348"/>
    </row>
    <row r="16" spans="1:5" ht="15.75">
      <c r="A16" s="306">
        <v>5</v>
      </c>
      <c r="B16" s="307" t="s">
        <v>538</v>
      </c>
      <c r="C16" s="48"/>
      <c r="D16" s="48">
        <v>1070905.754163</v>
      </c>
      <c r="E16" s="348"/>
    </row>
    <row r="17" spans="1:5" ht="15.75">
      <c r="A17" s="306">
        <v>6</v>
      </c>
      <c r="B17" s="307" t="s">
        <v>570</v>
      </c>
      <c r="C17" s="48"/>
      <c r="D17" s="48">
        <v>11782.601049</v>
      </c>
      <c r="E17" s="348"/>
    </row>
    <row r="18" spans="1:5" ht="15.75">
      <c r="A18" s="306">
        <v>7</v>
      </c>
      <c r="B18" s="307" t="s">
        <v>337</v>
      </c>
      <c r="C18" s="48"/>
      <c r="D18" s="48">
        <v>42212.458477</v>
      </c>
      <c r="E18" s="348"/>
    </row>
    <row r="19" spans="1:5" s="349" customFormat="1" ht="15.75">
      <c r="A19" s="301" t="s">
        <v>50</v>
      </c>
      <c r="B19" s="302" t="s">
        <v>590</v>
      </c>
      <c r="C19" s="304">
        <v>20390</v>
      </c>
      <c r="D19" s="304">
        <v>7380.730945</v>
      </c>
      <c r="E19" s="347"/>
    </row>
    <row r="20" spans="1:5" s="349" customFormat="1" ht="15.75">
      <c r="A20" s="301" t="s">
        <v>593</v>
      </c>
      <c r="B20" s="302" t="s">
        <v>594</v>
      </c>
      <c r="C20" s="304">
        <f>SUM(C21,C28)</f>
        <v>7334583</v>
      </c>
      <c r="D20" s="304">
        <f>SUM(D21,D28)</f>
        <v>9823134.804661002</v>
      </c>
      <c r="E20" s="347"/>
    </row>
    <row r="21" spans="1:5" ht="15.75">
      <c r="A21" s="301" t="s">
        <v>54</v>
      </c>
      <c r="B21" s="302" t="s">
        <v>552</v>
      </c>
      <c r="C21" s="304">
        <f>SUM(C22:C23,C26)</f>
        <v>7206722</v>
      </c>
      <c r="D21" s="304">
        <f>SUM(D22:D23,D26,D27)</f>
        <v>9622084.304457001</v>
      </c>
      <c r="E21" s="347">
        <f>D21/C21</f>
        <v>1.3351540831541722</v>
      </c>
    </row>
    <row r="22" spans="1:5" ht="15.75">
      <c r="A22" s="306">
        <v>1</v>
      </c>
      <c r="B22" s="307" t="s">
        <v>339</v>
      </c>
      <c r="C22" s="48">
        <v>3608086</v>
      </c>
      <c r="D22" s="48">
        <f>4655765.494822-D26</f>
        <v>3385197.663544</v>
      </c>
      <c r="E22" s="348">
        <f>D22/C22</f>
        <v>0.9382253259883495</v>
      </c>
    </row>
    <row r="23" spans="1:5" ht="15.75">
      <c r="A23" s="306">
        <v>2</v>
      </c>
      <c r="B23" s="307" t="s">
        <v>555</v>
      </c>
      <c r="C23" s="48">
        <f>SUM(C24:C25)</f>
        <v>3598636</v>
      </c>
      <c r="D23" s="48">
        <f>SUM(D24:D25)</f>
        <v>4846685.484888</v>
      </c>
      <c r="E23" s="348">
        <f>D23/C23</f>
        <v>1.3468118156123599</v>
      </c>
    </row>
    <row r="24" spans="1:5" ht="15.75">
      <c r="A24" s="306" t="s">
        <v>47</v>
      </c>
      <c r="B24" s="307" t="s">
        <v>553</v>
      </c>
      <c r="C24" s="48">
        <v>3598636</v>
      </c>
      <c r="D24" s="48">
        <v>3611094.151471</v>
      </c>
      <c r="E24" s="348">
        <f>D24/C24</f>
        <v>1.0034619093098052</v>
      </c>
    </row>
    <row r="25" spans="1:5" ht="15.75">
      <c r="A25" s="306" t="s">
        <v>47</v>
      </c>
      <c r="B25" s="307" t="s">
        <v>554</v>
      </c>
      <c r="C25" s="48"/>
      <c r="D25" s="48">
        <v>1235591.333417</v>
      </c>
      <c r="E25" s="348"/>
    </row>
    <row r="26" spans="1:5" ht="15.75">
      <c r="A26" s="306">
        <v>3</v>
      </c>
      <c r="B26" s="307" t="s">
        <v>544</v>
      </c>
      <c r="C26" s="48"/>
      <c r="D26" s="48">
        <v>1270567.831278</v>
      </c>
      <c r="E26" s="348"/>
    </row>
    <row r="27" spans="1:5" ht="15.75">
      <c r="A27" s="306">
        <v>4</v>
      </c>
      <c r="B27" s="307" t="s">
        <v>580</v>
      </c>
      <c r="C27" s="48"/>
      <c r="D27" s="48">
        <v>119633.324747</v>
      </c>
      <c r="E27" s="348"/>
    </row>
    <row r="28" spans="1:5" ht="15.75">
      <c r="A28" s="301" t="s">
        <v>50</v>
      </c>
      <c r="B28" s="302" t="s">
        <v>588</v>
      </c>
      <c r="C28" s="304">
        <v>127861</v>
      </c>
      <c r="D28" s="304">
        <v>201050.500204</v>
      </c>
      <c r="E28" s="348"/>
    </row>
    <row r="29" spans="1:5" ht="22.5" customHeight="1">
      <c r="A29" s="301" t="s">
        <v>595</v>
      </c>
      <c r="B29" s="302" t="s">
        <v>589</v>
      </c>
      <c r="C29" s="48"/>
      <c r="D29" s="304">
        <f>D8-D20</f>
        <v>34.32683999836445</v>
      </c>
      <c r="E29" s="348"/>
    </row>
    <row r="30" spans="1:5" ht="15.75">
      <c r="A30" s="301" t="s">
        <v>46</v>
      </c>
      <c r="B30" s="302" t="s">
        <v>340</v>
      </c>
      <c r="C30" s="48"/>
      <c r="D30" s="48"/>
      <c r="E30" s="348"/>
    </row>
    <row r="31" spans="1:7" ht="15.75">
      <c r="A31" s="301" t="s">
        <v>54</v>
      </c>
      <c r="B31" s="302" t="s">
        <v>548</v>
      </c>
      <c r="C31" s="304">
        <f>SUM(C32:C33,C36:C39)</f>
        <v>4043936</v>
      </c>
      <c r="D31" s="304">
        <f>SUM(D32:D33,D36:D39)</f>
        <v>5732973.607539001</v>
      </c>
      <c r="E31" s="347">
        <f>D31/C31</f>
        <v>1.4176716959761482</v>
      </c>
      <c r="G31" s="341"/>
    </row>
    <row r="32" spans="1:7" ht="15.75">
      <c r="A32" s="306">
        <v>1</v>
      </c>
      <c r="B32" s="307" t="s">
        <v>549</v>
      </c>
      <c r="C32" s="48">
        <v>445300</v>
      </c>
      <c r="D32" s="48">
        <f>174885.002152+62434.333367+205102.371392</f>
        <v>442421.706911</v>
      </c>
      <c r="E32" s="348">
        <f>D32/C32</f>
        <v>0.9935362832045812</v>
      </c>
      <c r="G32" s="341"/>
    </row>
    <row r="33" spans="1:5" ht="15.75">
      <c r="A33" s="306">
        <v>2</v>
      </c>
      <c r="B33" s="307" t="s">
        <v>550</v>
      </c>
      <c r="C33" s="48">
        <f>SUM(C34:C35)</f>
        <v>3598636</v>
      </c>
      <c r="D33" s="48">
        <f>SUM(D34:D35)</f>
        <v>4846685.484888</v>
      </c>
      <c r="E33" s="348">
        <f>D33/C33</f>
        <v>1.3468118156123599</v>
      </c>
    </row>
    <row r="34" spans="1:5" ht="15.75">
      <c r="A34" s="306" t="s">
        <v>47</v>
      </c>
      <c r="B34" s="307" t="s">
        <v>536</v>
      </c>
      <c r="C34" s="48">
        <v>3598636</v>
      </c>
      <c r="D34" s="48">
        <v>3611094.151471</v>
      </c>
      <c r="E34" s="348">
        <f>D34/C34</f>
        <v>1.0034619093098052</v>
      </c>
    </row>
    <row r="35" spans="1:5" ht="15.75">
      <c r="A35" s="306" t="s">
        <v>47</v>
      </c>
      <c r="B35" s="307" t="s">
        <v>55</v>
      </c>
      <c r="C35" s="48"/>
      <c r="D35" s="48">
        <v>1235591.333417</v>
      </c>
      <c r="E35" s="348"/>
    </row>
    <row r="36" spans="1:5" ht="15.75">
      <c r="A36" s="306">
        <v>3</v>
      </c>
      <c r="B36" s="307" t="s">
        <v>551</v>
      </c>
      <c r="C36" s="48"/>
      <c r="D36" s="48">
        <f>1659.4687+2017.857283</f>
        <v>3677.3259829999997</v>
      </c>
      <c r="E36" s="348"/>
    </row>
    <row r="37" spans="1:5" ht="15.75">
      <c r="A37" s="306">
        <v>4</v>
      </c>
      <c r="B37" s="307" t="s">
        <v>538</v>
      </c>
      <c r="C37" s="48"/>
      <c r="D37" s="48">
        <f>374885.834132+45679.130361</f>
        <v>420564.964493</v>
      </c>
      <c r="E37" s="348"/>
    </row>
    <row r="38" spans="1:5" ht="15.75">
      <c r="A38" s="306">
        <v>5</v>
      </c>
      <c r="B38" s="307" t="s">
        <v>570</v>
      </c>
      <c r="C38" s="48"/>
      <c r="D38" s="48">
        <v>7589.840926</v>
      </c>
      <c r="E38" s="348"/>
    </row>
    <row r="39" spans="1:5" ht="15.75">
      <c r="A39" s="306">
        <v>6</v>
      </c>
      <c r="B39" s="307" t="s">
        <v>337</v>
      </c>
      <c r="C39" s="48"/>
      <c r="D39" s="48">
        <f>12034.284338</f>
        <v>12034.284338</v>
      </c>
      <c r="E39" s="348"/>
    </row>
    <row r="40" spans="1:5" ht="15.75">
      <c r="A40" s="301" t="s">
        <v>50</v>
      </c>
      <c r="B40" s="302" t="s">
        <v>552</v>
      </c>
      <c r="C40" s="304">
        <f>SUM(C41:C42,C45)</f>
        <v>4043936</v>
      </c>
      <c r="D40" s="304">
        <f>SUM(D41:D42,D45,D46)</f>
        <v>5727635.3613020005</v>
      </c>
      <c r="E40" s="347">
        <f>D40/C40</f>
        <v>1.416351633977887</v>
      </c>
    </row>
    <row r="41" spans="1:5" ht="15.75">
      <c r="A41" s="306">
        <v>1</v>
      </c>
      <c r="B41" s="307" t="s">
        <v>578</v>
      </c>
      <c r="C41" s="48">
        <v>4043936</v>
      </c>
      <c r="D41" s="48">
        <f>4625519.98665+1047868.631837-D42-D45</f>
        <v>4220885.513708</v>
      </c>
      <c r="E41" s="348">
        <f>D41/C41</f>
        <v>1.043756754238445</v>
      </c>
    </row>
    <row r="42" spans="1:5" ht="15.75">
      <c r="A42" s="306">
        <v>2</v>
      </c>
      <c r="B42" s="307" t="s">
        <v>579</v>
      </c>
      <c r="C42" s="48"/>
      <c r="D42" s="48">
        <f>SUM(D43:D44)</f>
        <v>951339.0163189999</v>
      </c>
      <c r="E42" s="348"/>
    </row>
    <row r="43" spans="1:5" ht="15.75">
      <c r="A43" s="306" t="s">
        <v>47</v>
      </c>
      <c r="B43" s="307" t="s">
        <v>553</v>
      </c>
      <c r="C43" s="48"/>
      <c r="D43" s="48">
        <v>600333.419682</v>
      </c>
      <c r="E43" s="348"/>
    </row>
    <row r="44" spans="1:5" ht="15.75">
      <c r="A44" s="306" t="s">
        <v>47</v>
      </c>
      <c r="B44" s="307" t="s">
        <v>554</v>
      </c>
      <c r="C44" s="48"/>
      <c r="D44" s="48">
        <v>351005.596637</v>
      </c>
      <c r="E44" s="348"/>
    </row>
    <row r="45" spans="1:8" ht="15.75">
      <c r="A45" s="306">
        <v>3</v>
      </c>
      <c r="B45" s="307" t="s">
        <v>544</v>
      </c>
      <c r="C45" s="48"/>
      <c r="D45" s="48">
        <f>419772.438406+81391.650054</f>
        <v>501164.08846</v>
      </c>
      <c r="E45" s="348"/>
      <c r="G45" s="350"/>
      <c r="H45" s="350"/>
    </row>
    <row r="46" spans="1:8" ht="15.75">
      <c r="A46" s="351">
        <v>4</v>
      </c>
      <c r="B46" s="307" t="s">
        <v>580</v>
      </c>
      <c r="C46" s="352"/>
      <c r="D46" s="352">
        <f>42212.458477+12034.284338</f>
        <v>54246.742815</v>
      </c>
      <c r="E46" s="353"/>
      <c r="G46" s="354"/>
      <c r="H46" s="354"/>
    </row>
    <row r="47" spans="1:5" ht="15.75">
      <c r="A47" s="317" t="s">
        <v>51</v>
      </c>
      <c r="B47" s="355" t="s">
        <v>11</v>
      </c>
      <c r="C47" s="356"/>
      <c r="D47" s="318">
        <f>D31-D40</f>
        <v>5338.2462370004505</v>
      </c>
      <c r="E47" s="357"/>
    </row>
    <row r="48" ht="15.75">
      <c r="A48" s="358"/>
    </row>
    <row r="49" spans="1:5" s="359" customFormat="1" ht="43.5" customHeight="1">
      <c r="A49" s="644"/>
      <c r="B49" s="644"/>
      <c r="C49" s="644"/>
      <c r="D49" s="644"/>
      <c r="E49" s="644"/>
    </row>
    <row r="50" spans="1:5" ht="15.75">
      <c r="A50" s="644"/>
      <c r="B50" s="644"/>
      <c r="C50" s="644"/>
      <c r="D50" s="644"/>
      <c r="E50" s="644"/>
    </row>
    <row r="51" ht="14.25">
      <c r="A51" s="360"/>
    </row>
    <row r="52" ht="14.25">
      <c r="A52" s="360"/>
    </row>
  </sheetData>
  <sheetProtection/>
  <mergeCells count="4">
    <mergeCell ref="A2:E2"/>
    <mergeCell ref="A49:E49"/>
    <mergeCell ref="A50:E50"/>
    <mergeCell ref="A3:E3"/>
  </mergeCells>
  <printOptions horizontalCentered="1"/>
  <pageMargins left="0" right="0" top="0.5118110236220472" bottom="0" header="0.31496062992125984" footer="0.3149606299212598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A</cp:lastModifiedBy>
  <cp:lastPrinted>2019-06-25T02:56:10Z</cp:lastPrinted>
  <dcterms:created xsi:type="dcterms:W3CDTF">2017-04-26T02:19:00Z</dcterms:created>
  <dcterms:modified xsi:type="dcterms:W3CDTF">2019-07-04T07:15:42Z</dcterms:modified>
  <cp:category/>
  <cp:version/>
  <cp:contentType/>
  <cp:contentStatus/>
</cp:coreProperties>
</file>